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zzzzzzzzzzzzzzzzzzzzzzzReal Options 2020 BB\"/>
    </mc:Choice>
  </mc:AlternateContent>
  <xr:revisionPtr revIDLastSave="0" documentId="13_ncr:1_{948B3E01-B9D8-4A7A-9AB2-886813E24D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UIDE" sheetId="1" r:id="rId1"/>
    <sheet name="INTRINSIC CALL" sheetId="15" r:id="rId2"/>
    <sheet name="CALL OPTION" sheetId="14" r:id="rId3"/>
    <sheet name="PUT OPTION" sheetId="144" r:id="rId4"/>
    <sheet name="EXCHANGE" sheetId="26" r:id="rId5"/>
    <sheet name="ValueMatch" sheetId="152" r:id="rId6"/>
    <sheet name="INVEST OPTION" sheetId="153" r:id="rId7"/>
    <sheet name="STARTUP" sheetId="150" r:id="rId8"/>
    <sheet name="SHUT DOWN" sheetId="149" r:id="rId9"/>
    <sheet name="OUTPUT SWITCH" sheetId="147" r:id="rId10"/>
    <sheet name="LEVERAGED EQUITY" sheetId="151" r:id="rId11"/>
    <sheet name="HEDGING1" sheetId="25" r:id="rId12"/>
    <sheet name="STRATEGY1" sheetId="24" r:id="rId13"/>
    <sheet name="STRATEGY2" sheetId="23" r:id="rId14"/>
    <sheet name="STRATEGY3" sheetId="22" r:id="rId15"/>
    <sheet name="STRATEGY4" sheetId="21" r:id="rId16"/>
    <sheet name="STRATEGY5" sheetId="20" r:id="rId17"/>
    <sheet name="RENOVATION" sheetId="81" r:id="rId18"/>
    <sheet name="RENOVATION_REQD" sheetId="80" r:id="rId19"/>
    <sheet name="SHARING" sheetId="78" r:id="rId20"/>
    <sheet name="SAMUELSON1" sheetId="18" r:id="rId21"/>
    <sheet name="SAMUELSON2" sheetId="17" r:id="rId22"/>
    <sheet name="VOLATILITY" sheetId="16" r:id="rId23"/>
    <sheet name="DELTA,GAMMA" sheetId="33" r:id="rId24"/>
    <sheet name="AMER_PERP" sheetId="32" r:id="rId25"/>
    <sheet name="TOURINHO I" sheetId="117" r:id="rId26"/>
    <sheet name="DEBT BASE CASE" sheetId="145" r:id="rId27"/>
    <sheet name="ODE PROOF" sheetId="108" r:id="rId28"/>
    <sheet name="DEFAULT OPTION" sheetId="110" r:id="rId29"/>
    <sheet name="STRATEGY a" sheetId="109" r:id="rId30"/>
    <sheet name="FairStrategy" sheetId="111" r:id="rId31"/>
    <sheet name="SIMPLE STRATEGY" sheetId="112" r:id="rId32"/>
    <sheet name="EQUITY" sheetId="154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_123Graph_A" hidden="1">[1]BARRIER!$B$10:$H$10</definedName>
    <definedName name="__123Graph_ADELTA" hidden="1">[1]BARRIER!$B$18:$H$18</definedName>
    <definedName name="__123Graph_AEXERCISE" hidden="1">[1]BARRIER!$B$10:$H$10</definedName>
    <definedName name="__123Graph_ARATE" hidden="1">[1]BARRIER!$B$10:$H$10</definedName>
    <definedName name="__123Graph_ASTOCK" hidden="1">[1]BARRIER!$B$10:$H$10</definedName>
    <definedName name="__123Graph_ATIME" hidden="1">[1]BARRIER!$B$10:$H$10</definedName>
    <definedName name="__123Graph_AVOLATILITY" hidden="1">[1]BARRIER!$B$10:$H$10</definedName>
    <definedName name="__123Graph_B" hidden="1">[1]BARRIER!$B$13:$H$13</definedName>
    <definedName name="__123Graph_C" hidden="1">[1]BARRIER!$B$14:$H$14</definedName>
    <definedName name="__123Graph_X" hidden="1">[1]BARRIER!$B$5:$H$5</definedName>
    <definedName name="__123Graph_XDELTA" hidden="1">[1]BARRIER!$B$5:$H$5</definedName>
    <definedName name="__123Graph_XEXERCISE" hidden="1">[1]BARRIER!$B$6:$H$6</definedName>
    <definedName name="__123Graph_XRATE" hidden="1">[1]BARRIER!$B$8:$H$8</definedName>
    <definedName name="__123Graph_XSTOCK" hidden="1">[1]BARRIER!$B$5:$H$5</definedName>
    <definedName name="__123Graph_XTIME" hidden="1">[1]BARRIER!$B$7:$H$7</definedName>
    <definedName name="__123Graph_XVOLATILITY" hidden="1">[1]BARRIER!$B$9:$H$9</definedName>
    <definedName name="Correlation">#REF!</definedName>
    <definedName name="COST">#REF!</definedName>
    <definedName name="COST1">[2]GROWTH!$B$6</definedName>
    <definedName name="COST2">[2]GROWTH!$B$13</definedName>
    <definedName name="ETA">#REF!</definedName>
    <definedName name="HURDLE">#REF!</definedName>
    <definedName name="N_d1">[2]GROWTH!$B$22</definedName>
    <definedName name="N_d2">[2]GROWTH!$B$23</definedName>
    <definedName name="RATE">[2]GROWTH!$B$15</definedName>
    <definedName name="RISKFREE">#REF!</definedName>
    <definedName name="TIME">[2]GROWTH!$B$14</definedName>
    <definedName name="VALUE">#REF!</definedName>
    <definedName name="VOL">#REF!</definedName>
    <definedName name="YIELD_RATE">#REF!</definedName>
  </definedNames>
  <calcPr calcId="181029"/>
  <customWorkbookViews>
    <customWorkbookView name="Dean A. Paxson - Personal View" guid="{5EBE86A6-E484-4409-9173-9C7E8878B5E9}" mergeInterval="0" personalView="1" maximized="1" windowWidth="1020" windowHeight="6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54" l="1"/>
  <c r="B13" i="154"/>
  <c r="B20" i="154" s="1"/>
  <c r="B12" i="154"/>
  <c r="B11" i="154"/>
  <c r="B10" i="154"/>
  <c r="B9" i="154"/>
  <c r="B8" i="154"/>
  <c r="B3" i="154" s="1"/>
  <c r="B4" i="154"/>
  <c r="B15" i="154" s="1"/>
  <c r="B21" i="154" s="1"/>
  <c r="B19" i="154" l="1"/>
  <c r="B5" i="154" s="1"/>
  <c r="B24" i="154" s="1"/>
  <c r="B23" i="154"/>
  <c r="B6" i="154" l="1"/>
  <c r="B25" i="154" s="1"/>
  <c r="B7" i="154" l="1"/>
  <c r="B16" i="154" s="1"/>
  <c r="B22" i="154" s="1"/>
  <c r="B22" i="32" l="1"/>
  <c r="L13" i="147" l="1"/>
  <c r="B3" i="147"/>
  <c r="C4" i="147"/>
  <c r="D4" i="147" s="1"/>
  <c r="E4" i="147" s="1"/>
  <c r="F4" i="147" s="1"/>
  <c r="G4" i="147" s="1"/>
  <c r="H4" i="147" s="1"/>
  <c r="I4" i="147" s="1"/>
  <c r="J4" i="147" s="1"/>
  <c r="K4" i="147" s="1"/>
  <c r="L4" i="147" s="1"/>
  <c r="B27" i="147"/>
  <c r="B15" i="153" l="1"/>
  <c r="B14" i="153" l="1"/>
  <c r="B22" i="153" s="1"/>
  <c r="B10" i="153"/>
  <c r="B12" i="153" l="1"/>
  <c r="B13" i="153" l="1"/>
  <c r="B19" i="153" s="1"/>
  <c r="B21" i="153"/>
  <c r="B9" i="153" l="1"/>
  <c r="B18" i="153"/>
  <c r="B20" i="153"/>
  <c r="B11" i="153"/>
  <c r="B17" i="153" l="1"/>
  <c r="C3" i="152"/>
  <c r="D3" i="152" s="1"/>
  <c r="E3" i="152" s="1"/>
  <c r="F3" i="152" s="1"/>
  <c r="G3" i="152" s="1"/>
  <c r="H3" i="152" s="1"/>
  <c r="I3" i="152" s="1"/>
  <c r="J3" i="152" s="1"/>
  <c r="K3" i="152" s="1"/>
  <c r="L3" i="152" s="1"/>
  <c r="M3" i="152" s="1"/>
  <c r="N3" i="152" s="1"/>
  <c r="B21" i="32" l="1"/>
  <c r="B7" i="152"/>
  <c r="B11" i="152" s="1"/>
  <c r="B12" i="152" s="1"/>
  <c r="B6" i="152"/>
  <c r="C6" i="152" s="1"/>
  <c r="D6" i="152" s="1"/>
  <c r="E6" i="152" s="1"/>
  <c r="F6" i="152" s="1"/>
  <c r="G6" i="152" s="1"/>
  <c r="H6" i="152" s="1"/>
  <c r="I6" i="152" s="1"/>
  <c r="J6" i="152" s="1"/>
  <c r="K6" i="152" s="1"/>
  <c r="L6" i="152" s="1"/>
  <c r="M6" i="152" s="1"/>
  <c r="N6" i="152" s="1"/>
  <c r="C5" i="152"/>
  <c r="D5" i="152" s="1"/>
  <c r="E5" i="152" s="1"/>
  <c r="F5" i="152" s="1"/>
  <c r="G5" i="152" s="1"/>
  <c r="H5" i="152" s="1"/>
  <c r="I5" i="152" s="1"/>
  <c r="J5" i="152" s="1"/>
  <c r="K5" i="152" s="1"/>
  <c r="L5" i="152" s="1"/>
  <c r="M5" i="152" s="1"/>
  <c r="N5" i="152" s="1"/>
  <c r="B4" i="152"/>
  <c r="B35" i="150"/>
  <c r="B34" i="150"/>
  <c r="A35" i="150"/>
  <c r="A34" i="150"/>
  <c r="B9" i="150"/>
  <c r="B8" i="150"/>
  <c r="C8" i="150" s="1"/>
  <c r="D8" i="150" s="1"/>
  <c r="E8" i="150" s="1"/>
  <c r="F8" i="150" s="1"/>
  <c r="G8" i="150" s="1"/>
  <c r="H8" i="150" s="1"/>
  <c r="I8" i="150" s="1"/>
  <c r="B7" i="150"/>
  <c r="B5" i="15"/>
  <c r="C7" i="150" l="1"/>
  <c r="C7" i="152"/>
  <c r="B10" i="152"/>
  <c r="C11" i="152"/>
  <c r="D7" i="152"/>
  <c r="C4" i="152"/>
  <c r="B9" i="149"/>
  <c r="C9" i="149" s="1"/>
  <c r="D9" i="149" s="1"/>
  <c r="E9" i="149" s="1"/>
  <c r="F9" i="149" s="1"/>
  <c r="G9" i="149" s="1"/>
  <c r="H9" i="149" s="1"/>
  <c r="B8" i="149"/>
  <c r="C8" i="149" s="1"/>
  <c r="D8" i="149" s="1"/>
  <c r="E8" i="149" s="1"/>
  <c r="F8" i="149" s="1"/>
  <c r="G8" i="149" s="1"/>
  <c r="H8" i="149" s="1"/>
  <c r="B7" i="149"/>
  <c r="B6" i="149"/>
  <c r="C6" i="149" s="1"/>
  <c r="D6" i="149" s="1"/>
  <c r="E6" i="149" s="1"/>
  <c r="F6" i="149" s="1"/>
  <c r="G6" i="149" s="1"/>
  <c r="H6" i="149" s="1"/>
  <c r="B5" i="149"/>
  <c r="B4" i="149"/>
  <c r="C4" i="149" s="1"/>
  <c r="D4" i="149" s="1"/>
  <c r="E4" i="149" s="1"/>
  <c r="F4" i="149" s="1"/>
  <c r="G4" i="149" s="1"/>
  <c r="H4" i="149" s="1"/>
  <c r="B3" i="149"/>
  <c r="B28" i="149" s="1"/>
  <c r="C4" i="150"/>
  <c r="C9" i="150"/>
  <c r="D9" i="150" s="1"/>
  <c r="E9" i="150" s="1"/>
  <c r="F9" i="150" s="1"/>
  <c r="G9" i="150" s="1"/>
  <c r="H9" i="150" s="1"/>
  <c r="I9" i="150" s="1"/>
  <c r="C12" i="149"/>
  <c r="D12" i="149" s="1"/>
  <c r="E12" i="149" s="1"/>
  <c r="F12" i="149" s="1"/>
  <c r="G12" i="149" s="1"/>
  <c r="H12" i="149" s="1"/>
  <c r="C11" i="149"/>
  <c r="D11" i="149" s="1"/>
  <c r="E11" i="149" s="1"/>
  <c r="F11" i="149" s="1"/>
  <c r="G11" i="149" s="1"/>
  <c r="H11" i="149" s="1"/>
  <c r="C10" i="149"/>
  <c r="D10" i="149" s="1"/>
  <c r="E10" i="149" s="1"/>
  <c r="F10" i="149" s="1"/>
  <c r="G10" i="149" s="1"/>
  <c r="H10" i="149" s="1"/>
  <c r="B19" i="150"/>
  <c r="B17" i="150"/>
  <c r="B15" i="150"/>
  <c r="B27" i="150" s="1"/>
  <c r="C10" i="150"/>
  <c r="C6" i="150"/>
  <c r="D6" i="150" s="1"/>
  <c r="E6" i="150" s="1"/>
  <c r="F6" i="150" s="1"/>
  <c r="G6" i="150" s="1"/>
  <c r="H6" i="150" s="1"/>
  <c r="I6" i="150" s="1"/>
  <c r="C5" i="150"/>
  <c r="D5" i="150" s="1"/>
  <c r="C3" i="150"/>
  <c r="B9" i="147"/>
  <c r="C9" i="147" s="1"/>
  <c r="D9" i="147" s="1"/>
  <c r="E9" i="147" s="1"/>
  <c r="F9" i="147" s="1"/>
  <c r="G9" i="147" s="1"/>
  <c r="H9" i="147" s="1"/>
  <c r="I9" i="147" s="1"/>
  <c r="J9" i="147" s="1"/>
  <c r="K9" i="147" s="1"/>
  <c r="L9" i="147" s="1"/>
  <c r="B8" i="147"/>
  <c r="C8" i="147" s="1"/>
  <c r="D8" i="147" s="1"/>
  <c r="E8" i="147" s="1"/>
  <c r="F8" i="147" s="1"/>
  <c r="G8" i="147" s="1"/>
  <c r="H8" i="147" s="1"/>
  <c r="I8" i="147" s="1"/>
  <c r="J8" i="147" s="1"/>
  <c r="K8" i="147" s="1"/>
  <c r="L8" i="147" s="1"/>
  <c r="B7" i="147"/>
  <c r="B6" i="147"/>
  <c r="C6" i="147" s="1"/>
  <c r="B5" i="147"/>
  <c r="B17" i="147"/>
  <c r="C13" i="147"/>
  <c r="D13" i="147" s="1"/>
  <c r="E13" i="147" s="1"/>
  <c r="F13" i="147" s="1"/>
  <c r="F29" i="147"/>
  <c r="C29" i="147"/>
  <c r="B29" i="147"/>
  <c r="A29" i="147"/>
  <c r="C11" i="147"/>
  <c r="E29" i="147"/>
  <c r="D29" i="147"/>
  <c r="D11" i="147" l="1"/>
  <c r="D4" i="150"/>
  <c r="D15" i="150" s="1"/>
  <c r="D27" i="150" s="1"/>
  <c r="C35" i="150"/>
  <c r="D7" i="150"/>
  <c r="D3" i="150"/>
  <c r="D34" i="150" s="1"/>
  <c r="C34" i="150"/>
  <c r="C26" i="149"/>
  <c r="B26" i="149"/>
  <c r="C12" i="152"/>
  <c r="B33" i="152"/>
  <c r="B32" i="152"/>
  <c r="B8" i="152"/>
  <c r="B31" i="152"/>
  <c r="B9" i="152"/>
  <c r="C10" i="152"/>
  <c r="C9" i="152" s="1"/>
  <c r="D4" i="152"/>
  <c r="D11" i="152"/>
  <c r="D12" i="152" s="1"/>
  <c r="E7" i="152"/>
  <c r="B15" i="149"/>
  <c r="B16" i="149"/>
  <c r="B19" i="149"/>
  <c r="C5" i="149"/>
  <c r="B17" i="149"/>
  <c r="C3" i="149"/>
  <c r="C28" i="149" s="1"/>
  <c r="D19" i="150"/>
  <c r="E5" i="150"/>
  <c r="E3" i="150"/>
  <c r="E34" i="150" s="1"/>
  <c r="D10" i="150"/>
  <c r="B20" i="150"/>
  <c r="B21" i="150"/>
  <c r="C15" i="150"/>
  <c r="C27" i="150" s="1"/>
  <c r="C17" i="150"/>
  <c r="C19" i="150"/>
  <c r="C21" i="150" s="1"/>
  <c r="B16" i="147"/>
  <c r="C10" i="147"/>
  <c r="D10" i="147" s="1"/>
  <c r="E10" i="147" s="1"/>
  <c r="F10" i="147" s="1"/>
  <c r="G10" i="147" s="1"/>
  <c r="H10" i="147" s="1"/>
  <c r="I10" i="147" s="1"/>
  <c r="J10" i="147" s="1"/>
  <c r="K10" i="147" s="1"/>
  <c r="L10" i="147" s="1"/>
  <c r="C3" i="147"/>
  <c r="D3" i="147" s="1"/>
  <c r="E3" i="147" s="1"/>
  <c r="F3" i="147" s="1"/>
  <c r="B19" i="147"/>
  <c r="B20" i="147" s="1"/>
  <c r="G13" i="147"/>
  <c r="H13" i="147" s="1"/>
  <c r="I13" i="147" s="1"/>
  <c r="J13" i="147" s="1"/>
  <c r="K13" i="147" s="1"/>
  <c r="H29" i="147"/>
  <c r="C7" i="147"/>
  <c r="C12" i="147"/>
  <c r="C27" i="147" s="1"/>
  <c r="G29" i="147"/>
  <c r="C5" i="147"/>
  <c r="D6" i="147"/>
  <c r="B15" i="147"/>
  <c r="E11" i="147" l="1"/>
  <c r="D12" i="147"/>
  <c r="D27" i="147" s="1"/>
  <c r="D21" i="150"/>
  <c r="C20" i="150"/>
  <c r="C22" i="150" s="1"/>
  <c r="D17" i="150"/>
  <c r="E4" i="150"/>
  <c r="D35" i="150"/>
  <c r="E7" i="150"/>
  <c r="C16" i="149"/>
  <c r="C8" i="152"/>
  <c r="C31" i="152"/>
  <c r="C32" i="152"/>
  <c r="C33" i="152"/>
  <c r="E11" i="152"/>
  <c r="F7" i="152"/>
  <c r="D10" i="152"/>
  <c r="D9" i="152" s="1"/>
  <c r="E4" i="152"/>
  <c r="B22" i="150"/>
  <c r="C19" i="149"/>
  <c r="D5" i="149"/>
  <c r="D16" i="149"/>
  <c r="D3" i="149"/>
  <c r="D28" i="149" s="1"/>
  <c r="C17" i="149"/>
  <c r="C15" i="149"/>
  <c r="E10" i="150"/>
  <c r="D20" i="150"/>
  <c r="F5" i="150"/>
  <c r="E19" i="150"/>
  <c r="F3" i="150"/>
  <c r="F34" i="150" s="1"/>
  <c r="E17" i="150"/>
  <c r="E15" i="150"/>
  <c r="E27" i="150" s="1"/>
  <c r="E17" i="147"/>
  <c r="D17" i="147"/>
  <c r="C15" i="147"/>
  <c r="C17" i="147"/>
  <c r="B21" i="147"/>
  <c r="B22" i="147" s="1"/>
  <c r="B23" i="147" s="1"/>
  <c r="E6" i="147"/>
  <c r="D16" i="147"/>
  <c r="D7" i="147"/>
  <c r="C16" i="147"/>
  <c r="I29" i="147"/>
  <c r="D5" i="147"/>
  <c r="C19" i="147"/>
  <c r="G3" i="147"/>
  <c r="F17" i="147"/>
  <c r="F11" i="147" l="1"/>
  <c r="E12" i="147"/>
  <c r="E27" i="147" s="1"/>
  <c r="D22" i="150"/>
  <c r="D23" i="150" s="1"/>
  <c r="D24" i="150" s="1"/>
  <c r="C23" i="150"/>
  <c r="F7" i="150"/>
  <c r="B23" i="150"/>
  <c r="B24" i="150" s="1"/>
  <c r="F4" i="150"/>
  <c r="F15" i="150" s="1"/>
  <c r="F27" i="150" s="1"/>
  <c r="E35" i="150"/>
  <c r="D26" i="149"/>
  <c r="E12" i="152"/>
  <c r="D8" i="152"/>
  <c r="D33" i="152"/>
  <c r="D32" i="152"/>
  <c r="D31" i="152"/>
  <c r="F4" i="152"/>
  <c r="E10" i="152"/>
  <c r="F11" i="152"/>
  <c r="F12" i="152" s="1"/>
  <c r="G7" i="152"/>
  <c r="E16" i="149"/>
  <c r="D19" i="149"/>
  <c r="E5" i="149"/>
  <c r="D17" i="149"/>
  <c r="D15" i="149"/>
  <c r="E3" i="149"/>
  <c r="F10" i="150"/>
  <c r="E20" i="150"/>
  <c r="F17" i="150"/>
  <c r="G3" i="150"/>
  <c r="G34" i="150" s="1"/>
  <c r="E21" i="150"/>
  <c r="G5" i="150"/>
  <c r="F19" i="150"/>
  <c r="F6" i="147"/>
  <c r="D19" i="147"/>
  <c r="D15" i="147"/>
  <c r="E5" i="147"/>
  <c r="J29" i="147"/>
  <c r="C20" i="147"/>
  <c r="B24" i="147"/>
  <c r="C21" i="147"/>
  <c r="E7" i="147"/>
  <c r="G17" i="147"/>
  <c r="H3" i="147"/>
  <c r="E16" i="147" l="1"/>
  <c r="G11" i="147"/>
  <c r="F12" i="147"/>
  <c r="F27" i="147" s="1"/>
  <c r="F16" i="147"/>
  <c r="B25" i="150"/>
  <c r="B29" i="150" s="1"/>
  <c r="D25" i="150"/>
  <c r="D26" i="150" s="1"/>
  <c r="E28" i="149"/>
  <c r="G7" i="150"/>
  <c r="G4" i="150"/>
  <c r="F35" i="150"/>
  <c r="F21" i="150"/>
  <c r="C24" i="150"/>
  <c r="E26" i="149"/>
  <c r="E8" i="152"/>
  <c r="E33" i="152"/>
  <c r="E32" i="152"/>
  <c r="E31" i="152"/>
  <c r="E9" i="152"/>
  <c r="H7" i="152"/>
  <c r="G11" i="152"/>
  <c r="G4" i="152"/>
  <c r="F10" i="152"/>
  <c r="E22" i="150"/>
  <c r="F3" i="149"/>
  <c r="E15" i="149"/>
  <c r="E17" i="149"/>
  <c r="E19" i="149"/>
  <c r="F5" i="149"/>
  <c r="G19" i="150"/>
  <c r="H5" i="150"/>
  <c r="G10" i="150"/>
  <c r="F20" i="150"/>
  <c r="G17" i="150"/>
  <c r="G15" i="150"/>
  <c r="G27" i="150" s="1"/>
  <c r="H3" i="150"/>
  <c r="H34" i="150" s="1"/>
  <c r="C22" i="147"/>
  <c r="C23" i="147" s="1"/>
  <c r="G6" i="147"/>
  <c r="D20" i="147"/>
  <c r="F7" i="147"/>
  <c r="D21" i="147"/>
  <c r="K29" i="147"/>
  <c r="I3" i="147"/>
  <c r="H17" i="147"/>
  <c r="E19" i="147"/>
  <c r="E20" i="147" s="1"/>
  <c r="F5" i="147"/>
  <c r="E15" i="147"/>
  <c r="B25" i="147"/>
  <c r="B28" i="147" s="1"/>
  <c r="D29" i="150" l="1"/>
  <c r="D31" i="150"/>
  <c r="B33" i="150"/>
  <c r="D33" i="150"/>
  <c r="D30" i="150"/>
  <c r="B32" i="150"/>
  <c r="B31" i="150"/>
  <c r="B30" i="150"/>
  <c r="B26" i="150"/>
  <c r="D32" i="150"/>
  <c r="B26" i="147"/>
  <c r="H11" i="147"/>
  <c r="G12" i="147"/>
  <c r="G27" i="147" s="1"/>
  <c r="C25" i="150"/>
  <c r="C26" i="150" s="1"/>
  <c r="F22" i="150"/>
  <c r="F23" i="150" s="1"/>
  <c r="F28" i="149"/>
  <c r="E23" i="150"/>
  <c r="H4" i="150"/>
  <c r="H15" i="150" s="1"/>
  <c r="H27" i="150" s="1"/>
  <c r="G35" i="150"/>
  <c r="H7" i="150"/>
  <c r="G16" i="149"/>
  <c r="F26" i="149"/>
  <c r="F16" i="149"/>
  <c r="G12" i="152"/>
  <c r="F8" i="152"/>
  <c r="F33" i="152"/>
  <c r="F32" i="152"/>
  <c r="F31" i="152"/>
  <c r="F9" i="152"/>
  <c r="I7" i="152"/>
  <c r="H11" i="152"/>
  <c r="H12" i="152" s="1"/>
  <c r="H4" i="152"/>
  <c r="G10" i="152"/>
  <c r="G9" i="152" s="1"/>
  <c r="G3" i="149"/>
  <c r="G28" i="149" s="1"/>
  <c r="F17" i="149"/>
  <c r="F15" i="149"/>
  <c r="G5" i="149"/>
  <c r="F19" i="149"/>
  <c r="G20" i="150"/>
  <c r="H10" i="150"/>
  <c r="H19" i="150"/>
  <c r="I5" i="150"/>
  <c r="G21" i="150"/>
  <c r="H17" i="150"/>
  <c r="I3" i="150"/>
  <c r="I34" i="150" s="1"/>
  <c r="D22" i="147"/>
  <c r="D23" i="147" s="1"/>
  <c r="G5" i="147"/>
  <c r="F19" i="147"/>
  <c r="F15" i="147"/>
  <c r="H6" i="147"/>
  <c r="L29" i="147"/>
  <c r="C24" i="147"/>
  <c r="G7" i="147"/>
  <c r="I17" i="147"/>
  <c r="J3" i="147"/>
  <c r="B31" i="147"/>
  <c r="B35" i="147"/>
  <c r="B33" i="147"/>
  <c r="B34" i="147"/>
  <c r="B32" i="147"/>
  <c r="E21" i="147"/>
  <c r="E22" i="147" s="1"/>
  <c r="D28" i="150" l="1"/>
  <c r="B28" i="150"/>
  <c r="I11" i="147"/>
  <c r="H12" i="147"/>
  <c r="H27" i="147" s="1"/>
  <c r="G16" i="147"/>
  <c r="C31" i="150"/>
  <c r="C29" i="150"/>
  <c r="C32" i="150"/>
  <c r="C33" i="150"/>
  <c r="C30" i="150"/>
  <c r="H21" i="150"/>
  <c r="I7" i="150"/>
  <c r="E24" i="150"/>
  <c r="I4" i="150"/>
  <c r="I35" i="150" s="1"/>
  <c r="H35" i="150"/>
  <c r="G26" i="149"/>
  <c r="G8" i="152"/>
  <c r="G32" i="152"/>
  <c r="G33" i="152"/>
  <c r="G31" i="152"/>
  <c r="H10" i="152"/>
  <c r="H9" i="152" s="1"/>
  <c r="I4" i="152"/>
  <c r="J7" i="152"/>
  <c r="I11" i="152"/>
  <c r="G19" i="149"/>
  <c r="H5" i="149"/>
  <c r="H3" i="149"/>
  <c r="G17" i="149"/>
  <c r="G15" i="149"/>
  <c r="I17" i="150"/>
  <c r="G22" i="150"/>
  <c r="I19" i="150"/>
  <c r="H20" i="150"/>
  <c r="I10" i="150"/>
  <c r="F24" i="150"/>
  <c r="E23" i="147"/>
  <c r="C25" i="147"/>
  <c r="C28" i="147" s="1"/>
  <c r="K3" i="147"/>
  <c r="L3" i="147" s="1"/>
  <c r="J17" i="147"/>
  <c r="H5" i="147"/>
  <c r="G19" i="147"/>
  <c r="G15" i="147"/>
  <c r="D24" i="147"/>
  <c r="H7" i="147"/>
  <c r="F21" i="147"/>
  <c r="B30" i="147"/>
  <c r="F20" i="147"/>
  <c r="I6" i="147"/>
  <c r="C28" i="150" l="1"/>
  <c r="C26" i="147"/>
  <c r="H16" i="147"/>
  <c r="J11" i="147"/>
  <c r="I12" i="147"/>
  <c r="I27" i="147" s="1"/>
  <c r="F25" i="150"/>
  <c r="F29" i="150" s="1"/>
  <c r="E25" i="150"/>
  <c r="E30" i="150" s="1"/>
  <c r="H22" i="150"/>
  <c r="H23" i="150" s="1"/>
  <c r="I20" i="150"/>
  <c r="H28" i="149"/>
  <c r="H15" i="149"/>
  <c r="I15" i="150"/>
  <c r="I27" i="150" s="1"/>
  <c r="H26" i="149"/>
  <c r="H16" i="149"/>
  <c r="H8" i="152"/>
  <c r="H32" i="152"/>
  <c r="H33" i="152"/>
  <c r="H31" i="152"/>
  <c r="I12" i="152"/>
  <c r="I10" i="152"/>
  <c r="J4" i="152"/>
  <c r="J11" i="152"/>
  <c r="J12" i="152" s="1"/>
  <c r="K7" i="152"/>
  <c r="H17" i="149"/>
  <c r="H19" i="149"/>
  <c r="I21" i="150"/>
  <c r="G23" i="150"/>
  <c r="F22" i="147"/>
  <c r="F23" i="147" s="1"/>
  <c r="D25" i="147"/>
  <c r="D28" i="147" s="1"/>
  <c r="I7" i="147"/>
  <c r="I5" i="147"/>
  <c r="H19" i="147"/>
  <c r="H15" i="147"/>
  <c r="J6" i="147"/>
  <c r="C31" i="147"/>
  <c r="C33" i="147"/>
  <c r="C34" i="147"/>
  <c r="C32" i="147"/>
  <c r="C35" i="147"/>
  <c r="E24" i="147"/>
  <c r="G20" i="147"/>
  <c r="G21" i="147"/>
  <c r="K17" i="147"/>
  <c r="I22" i="150" l="1"/>
  <c r="I23" i="150" s="1"/>
  <c r="E32" i="150"/>
  <c r="E33" i="150"/>
  <c r="F26" i="150"/>
  <c r="E29" i="150"/>
  <c r="E26" i="150"/>
  <c r="D26" i="147"/>
  <c r="K11" i="147"/>
  <c r="L11" i="147" s="1"/>
  <c r="J12" i="147"/>
  <c r="I16" i="147"/>
  <c r="F33" i="150"/>
  <c r="F31" i="150"/>
  <c r="F30" i="150"/>
  <c r="F32" i="150"/>
  <c r="E31" i="150"/>
  <c r="E28" i="150" s="1"/>
  <c r="I8" i="152"/>
  <c r="I33" i="152"/>
  <c r="I32" i="152"/>
  <c r="I31" i="152"/>
  <c r="I9" i="152"/>
  <c r="J10" i="152"/>
  <c r="K4" i="152"/>
  <c r="K11" i="152"/>
  <c r="K12" i="152" s="1"/>
  <c r="L7" i="152"/>
  <c r="G24" i="150"/>
  <c r="H24" i="150"/>
  <c r="G22" i="147"/>
  <c r="G23" i="147" s="1"/>
  <c r="G24" i="147" s="1"/>
  <c r="D31" i="147"/>
  <c r="D33" i="147"/>
  <c r="D32" i="147"/>
  <c r="D35" i="147"/>
  <c r="D34" i="147"/>
  <c r="F24" i="147"/>
  <c r="J5" i="147"/>
  <c r="I19" i="147"/>
  <c r="I20" i="147" s="1"/>
  <c r="I15" i="147"/>
  <c r="L17" i="147"/>
  <c r="H21" i="147"/>
  <c r="C30" i="147"/>
  <c r="J7" i="147"/>
  <c r="K6" i="147"/>
  <c r="E25" i="147"/>
  <c r="E28" i="147" s="1"/>
  <c r="H20" i="147"/>
  <c r="F28" i="150" l="1"/>
  <c r="E26" i="147"/>
  <c r="J16" i="147"/>
  <c r="J27" i="147"/>
  <c r="K12" i="147"/>
  <c r="K27" i="147" s="1"/>
  <c r="H25" i="150"/>
  <c r="H32" i="150" s="1"/>
  <c r="G25" i="150"/>
  <c r="G29" i="150" s="1"/>
  <c r="J8" i="152"/>
  <c r="J33" i="152"/>
  <c r="J32" i="152"/>
  <c r="J31" i="152"/>
  <c r="J9" i="152"/>
  <c r="L11" i="152"/>
  <c r="M7" i="152"/>
  <c r="K10" i="152"/>
  <c r="L4" i="152"/>
  <c r="I24" i="150"/>
  <c r="H22" i="147"/>
  <c r="H23" i="147" s="1"/>
  <c r="G25" i="147"/>
  <c r="E33" i="147"/>
  <c r="E31" i="147"/>
  <c r="E35" i="147"/>
  <c r="E34" i="147"/>
  <c r="E32" i="147"/>
  <c r="D30" i="147"/>
  <c r="K7" i="147"/>
  <c r="L6" i="147"/>
  <c r="J19" i="147"/>
  <c r="J20" i="147" s="1"/>
  <c r="K5" i="147"/>
  <c r="J15" i="147"/>
  <c r="I21" i="147"/>
  <c r="I22" i="147" s="1"/>
  <c r="F25" i="147"/>
  <c r="F28" i="147" s="1"/>
  <c r="H26" i="150" l="1"/>
  <c r="G31" i="150"/>
  <c r="G30" i="150"/>
  <c r="G26" i="150"/>
  <c r="G34" i="147"/>
  <c r="G28" i="147"/>
  <c r="G26" i="147"/>
  <c r="F26" i="147"/>
  <c r="L12" i="147"/>
  <c r="L27" i="147" s="1"/>
  <c r="K16" i="147"/>
  <c r="H29" i="150"/>
  <c r="I25" i="150"/>
  <c r="I32" i="150" s="1"/>
  <c r="H33" i="150"/>
  <c r="H31" i="150"/>
  <c r="G32" i="150"/>
  <c r="H30" i="150"/>
  <c r="G33" i="150"/>
  <c r="K33" i="152"/>
  <c r="K32" i="152"/>
  <c r="K31" i="152"/>
  <c r="L12" i="152"/>
  <c r="K9" i="152"/>
  <c r="K8" i="152"/>
  <c r="M4" i="152"/>
  <c r="L10" i="152"/>
  <c r="M11" i="152"/>
  <c r="M12" i="152" s="1"/>
  <c r="N7" i="152"/>
  <c r="N11" i="152" s="1"/>
  <c r="G32" i="147"/>
  <c r="G31" i="147"/>
  <c r="G33" i="147"/>
  <c r="G35" i="147"/>
  <c r="I23" i="147"/>
  <c r="J21" i="147"/>
  <c r="J22" i="147" s="1"/>
  <c r="L5" i="147"/>
  <c r="K19" i="147"/>
  <c r="K20" i="147" s="1"/>
  <c r="K15" i="147"/>
  <c r="H24" i="147"/>
  <c r="F31" i="147"/>
  <c r="F33" i="147"/>
  <c r="F34" i="147"/>
  <c r="F35" i="147"/>
  <c r="F32" i="147"/>
  <c r="L7" i="147"/>
  <c r="E30" i="147"/>
  <c r="G28" i="150" l="1"/>
  <c r="H28" i="150"/>
  <c r="I31" i="150"/>
  <c r="I28" i="150" s="1"/>
  <c r="I33" i="150"/>
  <c r="I29" i="150"/>
  <c r="I30" i="150"/>
  <c r="I26" i="150"/>
  <c r="L16" i="147"/>
  <c r="L32" i="152"/>
  <c r="L33" i="152"/>
  <c r="L31" i="152"/>
  <c r="L9" i="152"/>
  <c r="L8" i="152"/>
  <c r="N4" i="152"/>
  <c r="N12" i="152" s="1"/>
  <c r="M10" i="152"/>
  <c r="K21" i="147"/>
  <c r="K22" i="147" s="1"/>
  <c r="K23" i="147" s="1"/>
  <c r="G30" i="147"/>
  <c r="J23" i="147"/>
  <c r="H25" i="147"/>
  <c r="H28" i="147" s="1"/>
  <c r="I24" i="147"/>
  <c r="F30" i="147"/>
  <c r="L19" i="147"/>
  <c r="L21" i="147" s="1"/>
  <c r="L15" i="147"/>
  <c r="H26" i="147" l="1"/>
  <c r="M32" i="152"/>
  <c r="M31" i="152" s="1"/>
  <c r="M33" i="152"/>
  <c r="M9" i="152"/>
  <c r="M8" i="152" s="1"/>
  <c r="N10" i="152"/>
  <c r="L20" i="147"/>
  <c r="L22" i="147" s="1"/>
  <c r="L23" i="147" s="1"/>
  <c r="I25" i="147"/>
  <c r="I28" i="147" s="1"/>
  <c r="J24" i="147"/>
  <c r="K24" i="147"/>
  <c r="H33" i="147"/>
  <c r="H31" i="147"/>
  <c r="H32" i="147"/>
  <c r="H35" i="147"/>
  <c r="H34" i="147"/>
  <c r="I26" i="147" l="1"/>
  <c r="N32" i="152"/>
  <c r="N33" i="152"/>
  <c r="N31" i="152"/>
  <c r="N9" i="152"/>
  <c r="N8" i="152" s="1"/>
  <c r="L24" i="147"/>
  <c r="J25" i="147"/>
  <c r="J28" i="147" s="1"/>
  <c r="I33" i="147"/>
  <c r="I31" i="147"/>
  <c r="I35" i="147"/>
  <c r="I34" i="147"/>
  <c r="I32" i="147"/>
  <c r="H30" i="147"/>
  <c r="K25" i="147"/>
  <c r="K28" i="147" s="1"/>
  <c r="L25" i="147" l="1"/>
  <c r="L26" i="147" s="1"/>
  <c r="J26" i="147"/>
  <c r="K26" i="147"/>
  <c r="J31" i="147"/>
  <c r="J33" i="147"/>
  <c r="J35" i="147"/>
  <c r="J32" i="147"/>
  <c r="J34" i="147"/>
  <c r="I30" i="147"/>
  <c r="K31" i="147"/>
  <c r="K33" i="147"/>
  <c r="K35" i="147"/>
  <c r="K32" i="147"/>
  <c r="K34" i="147"/>
  <c r="L34" i="147" l="1"/>
  <c r="L31" i="147"/>
  <c r="L35" i="147"/>
  <c r="L33" i="147"/>
  <c r="L32" i="147"/>
  <c r="L28" i="147"/>
  <c r="K30" i="147"/>
  <c r="J30" i="147"/>
  <c r="L30" i="147" l="1"/>
  <c r="E11" i="151"/>
  <c r="D11" i="151"/>
  <c r="D10" i="151"/>
  <c r="E10" i="151" s="1"/>
  <c r="F10" i="151" s="1"/>
  <c r="G10" i="151" s="1"/>
  <c r="H10" i="151" s="1"/>
  <c r="I10" i="151" s="1"/>
  <c r="J10" i="151" s="1"/>
  <c r="D9" i="151"/>
  <c r="E9" i="151" s="1"/>
  <c r="F9" i="151" s="1"/>
  <c r="G9" i="151" s="1"/>
  <c r="H9" i="151" s="1"/>
  <c r="I9" i="151" s="1"/>
  <c r="J9" i="151" s="1"/>
  <c r="D7" i="151"/>
  <c r="E7" i="151" s="1"/>
  <c r="F7" i="151" s="1"/>
  <c r="G7" i="151" s="1"/>
  <c r="H7" i="151" s="1"/>
  <c r="I7" i="151" s="1"/>
  <c r="J7" i="151" s="1"/>
  <c r="C11" i="151"/>
  <c r="C10" i="151"/>
  <c r="C9" i="151"/>
  <c r="C8" i="151"/>
  <c r="D8" i="151" s="1"/>
  <c r="E8" i="151" s="1"/>
  <c r="F8" i="151" s="1"/>
  <c r="G8" i="151" s="1"/>
  <c r="H8" i="151" s="1"/>
  <c r="I8" i="151" s="1"/>
  <c r="J8" i="151" s="1"/>
  <c r="C7" i="151"/>
  <c r="B9" i="151"/>
  <c r="B8" i="151"/>
  <c r="B7" i="151"/>
  <c r="B6" i="151"/>
  <c r="C6" i="151" s="1"/>
  <c r="D3" i="151"/>
  <c r="E3" i="151" s="1"/>
  <c r="F3" i="151" s="1"/>
  <c r="G3" i="151" s="1"/>
  <c r="H3" i="151" s="1"/>
  <c r="I3" i="151" s="1"/>
  <c r="J3" i="151" s="1"/>
  <c r="C3" i="151"/>
  <c r="B13" i="151"/>
  <c r="A13" i="151"/>
  <c r="E20" i="151" l="1"/>
  <c r="D20" i="151"/>
  <c r="F11" i="151"/>
  <c r="C20" i="151"/>
  <c r="C19" i="151" s="1"/>
  <c r="C16" i="151" s="1"/>
  <c r="B4" i="151"/>
  <c r="C4" i="151" s="1"/>
  <c r="B20" i="151"/>
  <c r="B19" i="151" s="1"/>
  <c r="D6" i="151"/>
  <c r="C13" i="151"/>
  <c r="C20" i="145"/>
  <c r="C19" i="145" s="1"/>
  <c r="C12" i="145"/>
  <c r="B12" i="145"/>
  <c r="C11" i="145"/>
  <c r="C10" i="145"/>
  <c r="B6" i="145"/>
  <c r="B5" i="145"/>
  <c r="B7" i="145" s="1"/>
  <c r="G11" i="151" l="1"/>
  <c r="F20" i="151"/>
  <c r="C15" i="151"/>
  <c r="C17" i="151"/>
  <c r="B17" i="151"/>
  <c r="B15" i="151"/>
  <c r="B16" i="151"/>
  <c r="B14" i="151" s="1"/>
  <c r="B5" i="151"/>
  <c r="C5" i="151"/>
  <c r="C18" i="151"/>
  <c r="B18" i="151"/>
  <c r="B48" i="151"/>
  <c r="D13" i="151"/>
  <c r="D4" i="151"/>
  <c r="D5" i="151" s="1"/>
  <c r="C14" i="151"/>
  <c r="E6" i="151"/>
  <c r="D19" i="151"/>
  <c r="C6" i="145"/>
  <c r="C5" i="145"/>
  <c r="C7" i="145"/>
  <c r="H11" i="151" l="1"/>
  <c r="G20" i="151"/>
  <c r="D16" i="151"/>
  <c r="D14" i="151" s="1"/>
  <c r="D15" i="151"/>
  <c r="D18" i="151"/>
  <c r="D17" i="151"/>
  <c r="E13" i="151"/>
  <c r="F6" i="151"/>
  <c r="E19" i="151"/>
  <c r="E17" i="151" s="1"/>
  <c r="E4" i="151"/>
  <c r="E18" i="151" s="1"/>
  <c r="B21" i="110"/>
  <c r="B20" i="110" s="1"/>
  <c r="B17" i="110" s="1"/>
  <c r="A15" i="110"/>
  <c r="B15" i="110"/>
  <c r="B11" i="110"/>
  <c r="B10" i="110"/>
  <c r="B9" i="110"/>
  <c r="B8" i="110"/>
  <c r="C5" i="110"/>
  <c r="C15" i="110" s="1"/>
  <c r="J21" i="110"/>
  <c r="I21" i="110"/>
  <c r="H21" i="110"/>
  <c r="G21" i="110"/>
  <c r="F21" i="110"/>
  <c r="E21" i="110"/>
  <c r="D21" i="110"/>
  <c r="C21" i="110"/>
  <c r="I11" i="151" l="1"/>
  <c r="H20" i="151"/>
  <c r="E16" i="151"/>
  <c r="E14" i="151" s="1"/>
  <c r="E15" i="151"/>
  <c r="F13" i="151"/>
  <c r="F19" i="151"/>
  <c r="G6" i="151"/>
  <c r="F4" i="151"/>
  <c r="F5" i="151" s="1"/>
  <c r="E5" i="151"/>
  <c r="B19" i="110"/>
  <c r="B18" i="110"/>
  <c r="B16" i="110" s="1"/>
  <c r="D5" i="110"/>
  <c r="B12" i="26"/>
  <c r="B9" i="26"/>
  <c r="B8" i="26"/>
  <c r="B7" i="26"/>
  <c r="B10" i="26" l="1"/>
  <c r="J11" i="151"/>
  <c r="J20" i="151" s="1"/>
  <c r="I20" i="151"/>
  <c r="F16" i="151"/>
  <c r="F14" i="151" s="1"/>
  <c r="F15" i="151"/>
  <c r="F17" i="151"/>
  <c r="F18" i="151"/>
  <c r="G19" i="151"/>
  <c r="H6" i="151"/>
  <c r="G13" i="151"/>
  <c r="G4" i="151"/>
  <c r="G18" i="151" s="1"/>
  <c r="E5" i="110"/>
  <c r="D15" i="110"/>
  <c r="D5" i="26"/>
  <c r="E5" i="26" s="1"/>
  <c r="F5" i="26" s="1"/>
  <c r="G5" i="26" s="1"/>
  <c r="H5" i="26" s="1"/>
  <c r="I5" i="26" s="1"/>
  <c r="J5" i="26" s="1"/>
  <c r="K5" i="26" s="1"/>
  <c r="L5" i="26" s="1"/>
  <c r="M5" i="26" s="1"/>
  <c r="N5" i="26" s="1"/>
  <c r="D4" i="26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C9" i="26"/>
  <c r="D9" i="26" s="1"/>
  <c r="E9" i="26" s="1"/>
  <c r="F9" i="26" s="1"/>
  <c r="G9" i="26" s="1"/>
  <c r="H9" i="26" s="1"/>
  <c r="I9" i="26" s="1"/>
  <c r="J9" i="26" s="1"/>
  <c r="K9" i="26" s="1"/>
  <c r="L9" i="26" s="1"/>
  <c r="M9" i="26" s="1"/>
  <c r="N9" i="26" s="1"/>
  <c r="C8" i="26"/>
  <c r="D8" i="26" s="1"/>
  <c r="E8" i="26" s="1"/>
  <c r="F8" i="26" s="1"/>
  <c r="G8" i="26" s="1"/>
  <c r="H8" i="26" s="1"/>
  <c r="I8" i="26" s="1"/>
  <c r="J8" i="26" s="1"/>
  <c r="K8" i="26" s="1"/>
  <c r="L8" i="26" s="1"/>
  <c r="M8" i="26" s="1"/>
  <c r="N8" i="26" s="1"/>
  <c r="C7" i="26"/>
  <c r="D7" i="26" s="1"/>
  <c r="C6" i="26"/>
  <c r="D6" i="26" s="1"/>
  <c r="E6" i="26" s="1"/>
  <c r="F6" i="26" s="1"/>
  <c r="C5" i="26"/>
  <c r="C4" i="26"/>
  <c r="C3" i="26"/>
  <c r="D3" i="26" s="1"/>
  <c r="B7" i="144"/>
  <c r="B6" i="144"/>
  <c r="C6" i="144" s="1"/>
  <c r="D6" i="144" s="1"/>
  <c r="E6" i="144" s="1"/>
  <c r="F6" i="144" s="1"/>
  <c r="G6" i="144" s="1"/>
  <c r="H6" i="144" s="1"/>
  <c r="I6" i="144" s="1"/>
  <c r="J6" i="144" s="1"/>
  <c r="K6" i="144" s="1"/>
  <c r="L6" i="144" s="1"/>
  <c r="M6" i="144" s="1"/>
  <c r="N6" i="144" s="1"/>
  <c r="C5" i="144"/>
  <c r="D5" i="144" s="1"/>
  <c r="E5" i="144" s="1"/>
  <c r="F5" i="144" s="1"/>
  <c r="G5" i="144" s="1"/>
  <c r="H5" i="144" s="1"/>
  <c r="I5" i="144" s="1"/>
  <c r="J5" i="144" s="1"/>
  <c r="K5" i="144" s="1"/>
  <c r="L5" i="144" s="1"/>
  <c r="M5" i="144" s="1"/>
  <c r="N5" i="144" s="1"/>
  <c r="B4" i="144"/>
  <c r="B9" i="144" s="1"/>
  <c r="C3" i="144"/>
  <c r="D3" i="144" s="1"/>
  <c r="C12" i="26" l="1"/>
  <c r="E3" i="26"/>
  <c r="D12" i="26"/>
  <c r="G16" i="151"/>
  <c r="G14" i="151" s="1"/>
  <c r="G15" i="151"/>
  <c r="G17" i="151"/>
  <c r="H19" i="151"/>
  <c r="I6" i="151"/>
  <c r="H4" i="151"/>
  <c r="H5" i="151" s="1"/>
  <c r="H13" i="151"/>
  <c r="G5" i="151"/>
  <c r="F5" i="110"/>
  <c r="E15" i="110"/>
  <c r="D10" i="26"/>
  <c r="D14" i="26" s="1"/>
  <c r="D13" i="26" s="1"/>
  <c r="D11" i="26" s="1"/>
  <c r="G6" i="26"/>
  <c r="E7" i="26"/>
  <c r="C10" i="26"/>
  <c r="C14" i="26" s="1"/>
  <c r="C13" i="26" s="1"/>
  <c r="C11" i="26" s="1"/>
  <c r="B11" i="144"/>
  <c r="B10" i="144" s="1"/>
  <c r="B8" i="144" s="1"/>
  <c r="C4" i="144"/>
  <c r="C7" i="144"/>
  <c r="C11" i="144" s="1"/>
  <c r="E3" i="144"/>
  <c r="B6" i="14"/>
  <c r="C6" i="14" s="1"/>
  <c r="D6" i="14" s="1"/>
  <c r="B7" i="14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B4" i="14"/>
  <c r="C5" i="14"/>
  <c r="D5" i="14" s="1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C3" i="14"/>
  <c r="D3" i="14" s="1"/>
  <c r="F3" i="26" l="1"/>
  <c r="E12" i="26"/>
  <c r="C4" i="14"/>
  <c r="D4" i="14" s="1"/>
  <c r="E4" i="14" s="1"/>
  <c r="B9" i="14"/>
  <c r="H16" i="151"/>
  <c r="H14" i="151" s="1"/>
  <c r="H15" i="151"/>
  <c r="H18" i="151"/>
  <c r="H17" i="151"/>
  <c r="I13" i="151"/>
  <c r="J6" i="151"/>
  <c r="I19" i="151"/>
  <c r="I4" i="151"/>
  <c r="I5" i="151" s="1"/>
  <c r="G5" i="110"/>
  <c r="F15" i="110"/>
  <c r="H6" i="26"/>
  <c r="I6" i="26" s="1"/>
  <c r="J6" i="26" s="1"/>
  <c r="K6" i="26" s="1"/>
  <c r="L6" i="26" s="1"/>
  <c r="F7" i="26"/>
  <c r="E10" i="26"/>
  <c r="E14" i="26" s="1"/>
  <c r="E13" i="26" s="1"/>
  <c r="E11" i="26" s="1"/>
  <c r="D4" i="144"/>
  <c r="C9" i="144"/>
  <c r="F3" i="144"/>
  <c r="C10" i="144"/>
  <c r="C8" i="144" s="1"/>
  <c r="D7" i="144"/>
  <c r="D11" i="144" s="1"/>
  <c r="D11" i="14"/>
  <c r="E6" i="14"/>
  <c r="B11" i="14"/>
  <c r="B10" i="14" s="1"/>
  <c r="B8" i="14" s="1"/>
  <c r="C11" i="14"/>
  <c r="F4" i="14"/>
  <c r="G4" i="14" s="1"/>
  <c r="H4" i="14" s="1"/>
  <c r="I4" i="14" s="1"/>
  <c r="D9" i="14"/>
  <c r="E3" i="14"/>
  <c r="G3" i="26" l="1"/>
  <c r="F12" i="26"/>
  <c r="C10" i="14"/>
  <c r="D10" i="14"/>
  <c r="D8" i="14" s="1"/>
  <c r="C9" i="14"/>
  <c r="C8" i="14" s="1"/>
  <c r="I17" i="151"/>
  <c r="I16" i="151"/>
  <c r="I14" i="151" s="1"/>
  <c r="I15" i="151"/>
  <c r="I18" i="151"/>
  <c r="J19" i="151"/>
  <c r="J13" i="151"/>
  <c r="J4" i="151"/>
  <c r="J5" i="151" s="1"/>
  <c r="H5" i="110"/>
  <c r="G15" i="110"/>
  <c r="M6" i="26"/>
  <c r="G7" i="26"/>
  <c r="F10" i="26"/>
  <c r="F14" i="26" s="1"/>
  <c r="F13" i="26" s="1"/>
  <c r="F11" i="26" s="1"/>
  <c r="D9" i="144"/>
  <c r="E4" i="144"/>
  <c r="G3" i="144"/>
  <c r="D10" i="144"/>
  <c r="D8" i="144" s="1"/>
  <c r="E7" i="144"/>
  <c r="E11" i="144" s="1"/>
  <c r="E11" i="14"/>
  <c r="E10" i="14" s="1"/>
  <c r="F6" i="14"/>
  <c r="J4" i="14"/>
  <c r="E9" i="14"/>
  <c r="F3" i="14"/>
  <c r="H3" i="26" l="1"/>
  <c r="G12" i="26"/>
  <c r="E8" i="14"/>
  <c r="J15" i="151"/>
  <c r="J16" i="151"/>
  <c r="J14" i="151" s="1"/>
  <c r="J17" i="151"/>
  <c r="J18" i="151"/>
  <c r="I5" i="110"/>
  <c r="H15" i="110"/>
  <c r="H7" i="26"/>
  <c r="G10" i="26"/>
  <c r="G14" i="26" s="1"/>
  <c r="G13" i="26" s="1"/>
  <c r="G11" i="26" s="1"/>
  <c r="N6" i="26"/>
  <c r="E9" i="144"/>
  <c r="F4" i="144"/>
  <c r="H3" i="144"/>
  <c r="F7" i="144"/>
  <c r="F11" i="144" s="1"/>
  <c r="E10" i="144"/>
  <c r="E8" i="144" s="1"/>
  <c r="G6" i="14"/>
  <c r="F11" i="14"/>
  <c r="F10" i="14" s="1"/>
  <c r="F8" i="14" s="1"/>
  <c r="K4" i="14"/>
  <c r="F9" i="14"/>
  <c r="G3" i="14"/>
  <c r="I3" i="26" l="1"/>
  <c r="H12" i="26"/>
  <c r="J5" i="110"/>
  <c r="J15" i="110" s="1"/>
  <c r="I15" i="110"/>
  <c r="I7" i="26"/>
  <c r="H10" i="26"/>
  <c r="H14" i="26" s="1"/>
  <c r="H13" i="26" s="1"/>
  <c r="H11" i="26" s="1"/>
  <c r="F9" i="144"/>
  <c r="G4" i="144"/>
  <c r="I3" i="144"/>
  <c r="G7" i="144"/>
  <c r="G11" i="144" s="1"/>
  <c r="F10" i="144"/>
  <c r="F8" i="144" s="1"/>
  <c r="G11" i="14"/>
  <c r="G10" i="14" s="1"/>
  <c r="G8" i="14" s="1"/>
  <c r="H6" i="14"/>
  <c r="L4" i="14"/>
  <c r="G9" i="14"/>
  <c r="H3" i="14"/>
  <c r="J3" i="26" l="1"/>
  <c r="I12" i="26"/>
  <c r="I10" i="26"/>
  <c r="I14" i="26" s="1"/>
  <c r="I13" i="26" s="1"/>
  <c r="I11" i="26" s="1"/>
  <c r="J7" i="26"/>
  <c r="G9" i="144"/>
  <c r="H4" i="144"/>
  <c r="J3" i="144"/>
  <c r="H7" i="144"/>
  <c r="H11" i="144" s="1"/>
  <c r="G10" i="144"/>
  <c r="G8" i="144" s="1"/>
  <c r="I6" i="14"/>
  <c r="H11" i="14"/>
  <c r="H10" i="14" s="1"/>
  <c r="M4" i="14"/>
  <c r="I3" i="14"/>
  <c r="H9" i="14"/>
  <c r="K3" i="26" l="1"/>
  <c r="J12" i="26"/>
  <c r="H8" i="14"/>
  <c r="K7" i="26"/>
  <c r="J10" i="26"/>
  <c r="J14" i="26" s="1"/>
  <c r="J13" i="26" s="1"/>
  <c r="J11" i="26" s="1"/>
  <c r="H9" i="144"/>
  <c r="I4" i="144"/>
  <c r="H10" i="144"/>
  <c r="H8" i="144" s="1"/>
  <c r="I7" i="144"/>
  <c r="I11" i="144" s="1"/>
  <c r="K3" i="144"/>
  <c r="J6" i="14"/>
  <c r="I11" i="14"/>
  <c r="I10" i="14" s="1"/>
  <c r="I8" i="14" s="1"/>
  <c r="N4" i="14"/>
  <c r="J3" i="14"/>
  <c r="I9" i="14"/>
  <c r="L3" i="26" l="1"/>
  <c r="K12" i="26"/>
  <c r="L7" i="26"/>
  <c r="K10" i="26"/>
  <c r="K14" i="26" s="1"/>
  <c r="K13" i="26" s="1"/>
  <c r="K11" i="26" s="1"/>
  <c r="I9" i="144"/>
  <c r="J4" i="144"/>
  <c r="L3" i="144"/>
  <c r="I10" i="144"/>
  <c r="I8" i="144" s="1"/>
  <c r="J7" i="144"/>
  <c r="J11" i="144" s="1"/>
  <c r="K6" i="14"/>
  <c r="J11" i="14"/>
  <c r="J10" i="14" s="1"/>
  <c r="K3" i="14"/>
  <c r="J9" i="14"/>
  <c r="M3" i="26" l="1"/>
  <c r="L12" i="26"/>
  <c r="J8" i="14"/>
  <c r="L10" i="26"/>
  <c r="L14" i="26" s="1"/>
  <c r="L13" i="26" s="1"/>
  <c r="L11" i="26" s="1"/>
  <c r="M7" i="26"/>
  <c r="J9" i="144"/>
  <c r="K4" i="144"/>
  <c r="J10" i="144"/>
  <c r="J8" i="144" s="1"/>
  <c r="K7" i="144"/>
  <c r="K11" i="144" s="1"/>
  <c r="M3" i="144"/>
  <c r="L6" i="14"/>
  <c r="K11" i="14"/>
  <c r="K10" i="14" s="1"/>
  <c r="L3" i="14"/>
  <c r="K9" i="14"/>
  <c r="N3" i="26" l="1"/>
  <c r="N12" i="26" s="1"/>
  <c r="M12" i="26"/>
  <c r="M10" i="26"/>
  <c r="M14" i="26" s="1"/>
  <c r="M13" i="26" s="1"/>
  <c r="M11" i="26" s="1"/>
  <c r="N7" i="26"/>
  <c r="N10" i="26" s="1"/>
  <c r="N14" i="26" s="1"/>
  <c r="N13" i="26" s="1"/>
  <c r="N11" i="26" s="1"/>
  <c r="K9" i="144"/>
  <c r="L4" i="144"/>
  <c r="N3" i="144"/>
  <c r="K10" i="144"/>
  <c r="K8" i="144" s="1"/>
  <c r="L7" i="144"/>
  <c r="L11" i="144" s="1"/>
  <c r="K8" i="14"/>
  <c r="L11" i="14"/>
  <c r="L10" i="14" s="1"/>
  <c r="M6" i="14"/>
  <c r="L9" i="14"/>
  <c r="M3" i="14"/>
  <c r="L9" i="144" l="1"/>
  <c r="M4" i="144"/>
  <c r="L10" i="144"/>
  <c r="L8" i="144" s="1"/>
  <c r="M7" i="144"/>
  <c r="M11" i="144" s="1"/>
  <c r="L8" i="14"/>
  <c r="N6" i="14"/>
  <c r="N11" i="14" s="1"/>
  <c r="N10" i="14" s="1"/>
  <c r="M11" i="14"/>
  <c r="M10" i="14" s="1"/>
  <c r="M9" i="14"/>
  <c r="N3" i="14"/>
  <c r="M9" i="144" l="1"/>
  <c r="N4" i="144"/>
  <c r="N9" i="144" s="1"/>
  <c r="N7" i="144"/>
  <c r="M10" i="144"/>
  <c r="M8" i="144" s="1"/>
  <c r="M8" i="14"/>
  <c r="N9" i="14"/>
  <c r="N8" i="14" s="1"/>
  <c r="N11" i="144" l="1"/>
  <c r="N10" i="144" s="1"/>
  <c r="N8" i="144" s="1"/>
  <c r="F23" i="111"/>
  <c r="G23" i="111" s="1"/>
  <c r="H23" i="111" s="1"/>
  <c r="I23" i="111" s="1"/>
  <c r="B5" i="112"/>
  <c r="C20" i="112"/>
  <c r="B12" i="112"/>
  <c r="C12" i="112" s="1"/>
  <c r="C11" i="112"/>
  <c r="C10" i="112"/>
  <c r="B6" i="112"/>
  <c r="B7" i="112" l="1"/>
  <c r="C19" i="112"/>
  <c r="C7" i="112" s="1"/>
  <c r="C6" i="112" l="1"/>
  <c r="C5" i="112"/>
  <c r="C20" i="111" l="1"/>
  <c r="B5" i="109"/>
  <c r="C20" i="109"/>
  <c r="B12" i="109"/>
  <c r="C12" i="109" s="1"/>
  <c r="C11" i="109"/>
  <c r="C10" i="109"/>
  <c r="B6" i="109"/>
  <c r="B16" i="108"/>
  <c r="A47" i="17"/>
  <c r="B5" i="17"/>
  <c r="B6" i="17"/>
  <c r="B7" i="17"/>
  <c r="B8" i="17"/>
  <c r="B9" i="17"/>
  <c r="B4" i="117"/>
  <c r="C4" i="117" s="1"/>
  <c r="B5" i="117"/>
  <c r="C5" i="117" s="1"/>
  <c r="C6" i="117" s="1"/>
  <c r="B7" i="117"/>
  <c r="B8" i="117"/>
  <c r="B16" i="117" s="1"/>
  <c r="A24" i="117"/>
  <c r="C8" i="117"/>
  <c r="D8" i="117" s="1"/>
  <c r="E8" i="117" s="1"/>
  <c r="F8" i="117" s="1"/>
  <c r="G8" i="117" s="1"/>
  <c r="H8" i="117" s="1"/>
  <c r="I8" i="117" s="1"/>
  <c r="J8" i="117" s="1"/>
  <c r="K8" i="117" s="1"/>
  <c r="C3" i="117"/>
  <c r="D3" i="117" s="1"/>
  <c r="E3" i="117" s="1"/>
  <c r="D17" i="111"/>
  <c r="D16" i="111"/>
  <c r="E16" i="111" s="1"/>
  <c r="F16" i="111" s="1"/>
  <c r="G16" i="111" s="1"/>
  <c r="D15" i="111"/>
  <c r="E15" i="111" s="1"/>
  <c r="F15" i="111" s="1"/>
  <c r="G15" i="111" s="1"/>
  <c r="H15" i="111" s="1"/>
  <c r="I15" i="111" s="1"/>
  <c r="D14" i="111"/>
  <c r="E14" i="111" s="1"/>
  <c r="F14" i="111" s="1"/>
  <c r="G14" i="111" s="1"/>
  <c r="H14" i="111" s="1"/>
  <c r="I14" i="111" s="1"/>
  <c r="D13" i="111"/>
  <c r="E13" i="111" s="1"/>
  <c r="F13" i="111" s="1"/>
  <c r="G13" i="111" s="1"/>
  <c r="H13" i="111" s="1"/>
  <c r="I13" i="111" s="1"/>
  <c r="B12" i="111"/>
  <c r="G11" i="111"/>
  <c r="C11" i="111"/>
  <c r="C19" i="111" s="1"/>
  <c r="G10" i="111"/>
  <c r="C10" i="111"/>
  <c r="H10" i="111" s="1"/>
  <c r="B6" i="111"/>
  <c r="B5" i="111"/>
  <c r="B8" i="108"/>
  <c r="B6" i="108"/>
  <c r="B6" i="117" l="1"/>
  <c r="C12" i="111"/>
  <c r="B21" i="111"/>
  <c r="B14" i="108"/>
  <c r="B15" i="108" s="1"/>
  <c r="B24" i="111"/>
  <c r="D19" i="111"/>
  <c r="H12" i="111"/>
  <c r="C6" i="111"/>
  <c r="C24" i="111" s="1"/>
  <c r="I19" i="111"/>
  <c r="G19" i="111"/>
  <c r="E19" i="111"/>
  <c r="H19" i="111"/>
  <c r="F19" i="111"/>
  <c r="D20" i="111"/>
  <c r="B7" i="111"/>
  <c r="C5" i="111"/>
  <c r="C21" i="111" s="1"/>
  <c r="C7" i="111"/>
  <c r="D10" i="111"/>
  <c r="G12" i="111"/>
  <c r="E17" i="111"/>
  <c r="B7" i="109"/>
  <c r="C19" i="109"/>
  <c r="C6" i="109" s="1"/>
  <c r="B10" i="117"/>
  <c r="C7" i="117"/>
  <c r="D7" i="117" s="1"/>
  <c r="E7" i="117" s="1"/>
  <c r="F7" i="117" s="1"/>
  <c r="G7" i="117" s="1"/>
  <c r="H7" i="117" s="1"/>
  <c r="I7" i="117" s="1"/>
  <c r="J7" i="117" s="1"/>
  <c r="K7" i="117" s="1"/>
  <c r="B12" i="17"/>
  <c r="B13" i="17" s="1"/>
  <c r="B47" i="17" s="1"/>
  <c r="D5" i="117"/>
  <c r="E5" i="117" s="1"/>
  <c r="F5" i="117" s="1"/>
  <c r="E16" i="117"/>
  <c r="F3" i="117"/>
  <c r="B11" i="117"/>
  <c r="D16" i="117"/>
  <c r="D4" i="117"/>
  <c r="C10" i="117"/>
  <c r="C16" i="117"/>
  <c r="H16" i="111"/>
  <c r="C9" i="111"/>
  <c r="E10" i="111"/>
  <c r="D11" i="111"/>
  <c r="H11" i="111"/>
  <c r="D12" i="111"/>
  <c r="D6" i="117" l="1"/>
  <c r="D10" i="117" s="1"/>
  <c r="D11" i="117" s="1"/>
  <c r="E6" i="117"/>
  <c r="B20" i="108"/>
  <c r="C25" i="111"/>
  <c r="B19" i="108"/>
  <c r="F17" i="111"/>
  <c r="E20" i="111"/>
  <c r="I10" i="111"/>
  <c r="D7" i="111"/>
  <c r="D9" i="111" s="1"/>
  <c r="C5" i="109"/>
  <c r="C7" i="109"/>
  <c r="G5" i="117"/>
  <c r="F6" i="117"/>
  <c r="C11" i="117"/>
  <c r="B14" i="117"/>
  <c r="E4" i="117"/>
  <c r="G3" i="117"/>
  <c r="F16" i="117"/>
  <c r="B13" i="117"/>
  <c r="F10" i="111"/>
  <c r="I12" i="111"/>
  <c r="E12" i="111"/>
  <c r="I11" i="111"/>
  <c r="E11" i="111"/>
  <c r="I16" i="111"/>
  <c r="B18" i="108" l="1"/>
  <c r="F20" i="111"/>
  <c r="G17" i="111"/>
  <c r="E5" i="111"/>
  <c r="E21" i="111" s="1"/>
  <c r="D5" i="111"/>
  <c r="D21" i="111" s="1"/>
  <c r="E7" i="111"/>
  <c r="E9" i="111" s="1"/>
  <c r="D6" i="111"/>
  <c r="B15" i="117"/>
  <c r="E10" i="117"/>
  <c r="E11" i="117" s="1"/>
  <c r="F4" i="117"/>
  <c r="G6" i="117"/>
  <c r="H5" i="117"/>
  <c r="C14" i="117"/>
  <c r="G16" i="117"/>
  <c r="H3" i="117"/>
  <c r="D14" i="117"/>
  <c r="D13" i="117"/>
  <c r="B12" i="117"/>
  <c r="C13" i="117"/>
  <c r="F11" i="111"/>
  <c r="F12" i="111"/>
  <c r="D24" i="111" l="1"/>
  <c r="D25" i="111" s="1"/>
  <c r="E6" i="111"/>
  <c r="G20" i="111"/>
  <c r="H17" i="111"/>
  <c r="F5" i="111"/>
  <c r="F21" i="111" s="1"/>
  <c r="D12" i="117"/>
  <c r="D17" i="117" s="1"/>
  <c r="D15" i="117" s="1"/>
  <c r="C12" i="117"/>
  <c r="C15" i="117"/>
  <c r="I5" i="117"/>
  <c r="H6" i="117"/>
  <c r="F10" i="117"/>
  <c r="F11" i="117" s="1"/>
  <c r="G4" i="117"/>
  <c r="I3" i="117"/>
  <c r="H16" i="117"/>
  <c r="E14" i="117"/>
  <c r="E13" i="117"/>
  <c r="E24" i="111" l="1"/>
  <c r="E25" i="111" s="1"/>
  <c r="G6" i="111"/>
  <c r="G7" i="111"/>
  <c r="G9" i="111" s="1"/>
  <c r="G5" i="111"/>
  <c r="G21" i="111" s="1"/>
  <c r="F6" i="111"/>
  <c r="F7" i="111"/>
  <c r="F9" i="111" s="1"/>
  <c r="H20" i="111"/>
  <c r="I17" i="111"/>
  <c r="E12" i="117"/>
  <c r="E17" i="117" s="1"/>
  <c r="E15" i="117" s="1"/>
  <c r="G10" i="117"/>
  <c r="G11" i="117" s="1"/>
  <c r="H4" i="117"/>
  <c r="I6" i="117"/>
  <c r="J5" i="117"/>
  <c r="I16" i="117"/>
  <c r="J3" i="117"/>
  <c r="F14" i="117"/>
  <c r="F13" i="117"/>
  <c r="F24" i="111" l="1"/>
  <c r="F25" i="111" s="1"/>
  <c r="G25" i="111"/>
  <c r="G24" i="111"/>
  <c r="H7" i="111"/>
  <c r="H9" i="111" s="1"/>
  <c r="H5" i="111"/>
  <c r="H21" i="111" s="1"/>
  <c r="H6" i="111"/>
  <c r="I20" i="111"/>
  <c r="F12" i="117"/>
  <c r="F17" i="117" s="1"/>
  <c r="F15" i="117" s="1"/>
  <c r="K3" i="117"/>
  <c r="J16" i="117"/>
  <c r="K5" i="117"/>
  <c r="J6" i="117"/>
  <c r="H10" i="117"/>
  <c r="I4" i="117"/>
  <c r="G14" i="117"/>
  <c r="G13" i="117"/>
  <c r="H24" i="111" l="1"/>
  <c r="H25" i="111" s="1"/>
  <c r="I5" i="111"/>
  <c r="I21" i="111" s="1"/>
  <c r="I7" i="111"/>
  <c r="I9" i="111" s="1"/>
  <c r="I6" i="111"/>
  <c r="G12" i="117"/>
  <c r="G17" i="117" s="1"/>
  <c r="G15" i="117" s="1"/>
  <c r="I10" i="117"/>
  <c r="I11" i="117" s="1"/>
  <c r="J4" i="117"/>
  <c r="K6" i="117"/>
  <c r="K16" i="117"/>
  <c r="H11" i="117"/>
  <c r="I24" i="111" l="1"/>
  <c r="I25" i="111" s="1"/>
  <c r="H14" i="117"/>
  <c r="H12" i="117" s="1"/>
  <c r="J10" i="117"/>
  <c r="J11" i="117" s="1"/>
  <c r="K4" i="117"/>
  <c r="I14" i="117"/>
  <c r="I13" i="117"/>
  <c r="H13" i="117"/>
  <c r="I12" i="117" l="1"/>
  <c r="I17" i="117" s="1"/>
  <c r="I15" i="117" s="1"/>
  <c r="H17" i="117"/>
  <c r="H15" i="117" s="1"/>
  <c r="K10" i="117"/>
  <c r="K11" i="117" s="1"/>
  <c r="J14" i="117"/>
  <c r="J13" i="117"/>
  <c r="J12" i="117" l="1"/>
  <c r="J17" i="117" s="1"/>
  <c r="J15" i="117" s="1"/>
  <c r="K14" i="117"/>
  <c r="K13" i="117"/>
  <c r="K12" i="117" l="1"/>
  <c r="K15" i="117" s="1"/>
  <c r="B7" i="23" l="1"/>
  <c r="A9" i="80"/>
  <c r="E5" i="80"/>
  <c r="F5" i="80" s="1"/>
  <c r="G5" i="80" s="1"/>
  <c r="H5" i="80" s="1"/>
  <c r="I5" i="80" s="1"/>
  <c r="J5" i="80" s="1"/>
  <c r="K5" i="80" s="1"/>
  <c r="L5" i="80" s="1"/>
  <c r="M5" i="80" s="1"/>
  <c r="N5" i="80" s="1"/>
  <c r="B2" i="80"/>
  <c r="C2" i="80" s="1"/>
  <c r="C3" i="80" s="1"/>
  <c r="A9" i="81"/>
  <c r="E5" i="81"/>
  <c r="F5" i="81" s="1"/>
  <c r="G5" i="81" s="1"/>
  <c r="H5" i="81" s="1"/>
  <c r="I5" i="81" s="1"/>
  <c r="J5" i="81" s="1"/>
  <c r="K5" i="81" s="1"/>
  <c r="L5" i="81" s="1"/>
  <c r="M5" i="81" s="1"/>
  <c r="N5" i="81" s="1"/>
  <c r="B2" i="81"/>
  <c r="B3" i="81" s="1"/>
  <c r="B4" i="81" s="1"/>
  <c r="B14" i="26"/>
  <c r="B13" i="26" s="1"/>
  <c r="B11" i="26" s="1"/>
  <c r="B3" i="80" l="1"/>
  <c r="B4" i="80"/>
  <c r="C4" i="80"/>
  <c r="D2" i="80"/>
  <c r="D3" i="80" s="1"/>
  <c r="C2" i="81"/>
  <c r="C3" i="81" s="1"/>
  <c r="C4" i="81" s="1"/>
  <c r="D4" i="80" l="1"/>
  <c r="E2" i="80"/>
  <c r="E3" i="80" s="1"/>
  <c r="D2" i="81"/>
  <c r="D3" i="81" s="1"/>
  <c r="D4" i="81" s="1"/>
  <c r="A19" i="78"/>
  <c r="A18" i="78"/>
  <c r="A17" i="78"/>
  <c r="A16" i="78"/>
  <c r="A15" i="78"/>
  <c r="C9" i="78"/>
  <c r="C13" i="78" s="1"/>
  <c r="B14" i="78"/>
  <c r="B13" i="78"/>
  <c r="B7" i="78"/>
  <c r="M12" i="78" s="1"/>
  <c r="E12" i="78"/>
  <c r="B6" i="20"/>
  <c r="B7" i="20"/>
  <c r="B9" i="20"/>
  <c r="B10" i="20"/>
  <c r="C2" i="25"/>
  <c r="D2" i="25" s="1"/>
  <c r="E2" i="25" s="1"/>
  <c r="F2" i="25" s="1"/>
  <c r="G2" i="25" s="1"/>
  <c r="H2" i="25" s="1"/>
  <c r="I2" i="25" s="1"/>
  <c r="J2" i="25" s="1"/>
  <c r="K2" i="25" s="1"/>
  <c r="L2" i="25" s="1"/>
  <c r="M2" i="25" s="1"/>
  <c r="N2" i="25" s="1"/>
  <c r="B3" i="24"/>
  <c r="C2" i="24"/>
  <c r="C3" i="24" s="1"/>
  <c r="B14" i="32"/>
  <c r="B12" i="32" s="1"/>
  <c r="B13" i="32" s="1"/>
  <c r="B10" i="32"/>
  <c r="C8" i="33"/>
  <c r="D8" i="33" s="1"/>
  <c r="E8" i="33" s="1"/>
  <c r="C9" i="33"/>
  <c r="D9" i="33" s="1"/>
  <c r="E9" i="33" s="1"/>
  <c r="C7" i="33"/>
  <c r="D7" i="33" s="1"/>
  <c r="E7" i="33" s="1"/>
  <c r="F7" i="33" s="1"/>
  <c r="G7" i="33" s="1"/>
  <c r="C5" i="33"/>
  <c r="D5" i="33" s="1"/>
  <c r="E5" i="33" s="1"/>
  <c r="F5" i="33" s="1"/>
  <c r="B16" i="33"/>
  <c r="B14" i="33" s="1"/>
  <c r="A26" i="33"/>
  <c r="A25" i="33"/>
  <c r="A24" i="33"/>
  <c r="B12" i="33"/>
  <c r="J17" i="16"/>
  <c r="I17" i="16"/>
  <c r="H17" i="16"/>
  <c r="G17" i="16"/>
  <c r="F17" i="16"/>
  <c r="E17" i="16"/>
  <c r="D17" i="16"/>
  <c r="C17" i="16"/>
  <c r="B17" i="16"/>
  <c r="C7" i="16"/>
  <c r="D7" i="16" s="1"/>
  <c r="B12" i="16"/>
  <c r="A18" i="17"/>
  <c r="A17" i="17"/>
  <c r="C9" i="17"/>
  <c r="D9" i="17" s="1"/>
  <c r="B16" i="17"/>
  <c r="B15" i="17"/>
  <c r="B12" i="18"/>
  <c r="B15" i="18"/>
  <c r="A14" i="20"/>
  <c r="A13" i="20"/>
  <c r="E8" i="20"/>
  <c r="F8" i="20" s="1"/>
  <c r="G8" i="20" s="1"/>
  <c r="H8" i="20" s="1"/>
  <c r="I8" i="20" s="1"/>
  <c r="J8" i="20" s="1"/>
  <c r="K8" i="20" s="1"/>
  <c r="L8" i="20" s="1"/>
  <c r="C2" i="20"/>
  <c r="A10" i="21"/>
  <c r="B7" i="21"/>
  <c r="B4" i="21" s="1"/>
  <c r="E6" i="21"/>
  <c r="F6" i="21" s="1"/>
  <c r="G6" i="21" s="1"/>
  <c r="H6" i="21" s="1"/>
  <c r="I6" i="21" s="1"/>
  <c r="J6" i="21" s="1"/>
  <c r="K6" i="21" s="1"/>
  <c r="L6" i="21" s="1"/>
  <c r="M6" i="21" s="1"/>
  <c r="N6" i="21" s="1"/>
  <c r="B2" i="21"/>
  <c r="C2" i="21" s="1"/>
  <c r="D2" i="21" s="1"/>
  <c r="A10" i="22"/>
  <c r="A9" i="22"/>
  <c r="E5" i="22"/>
  <c r="F5" i="22" s="1"/>
  <c r="G5" i="22" s="1"/>
  <c r="H5" i="22" s="1"/>
  <c r="I5" i="22" s="1"/>
  <c r="J5" i="22" s="1"/>
  <c r="K5" i="22" s="1"/>
  <c r="L5" i="22" s="1"/>
  <c r="M5" i="22" s="1"/>
  <c r="N5" i="22" s="1"/>
  <c r="B2" i="22"/>
  <c r="C2" i="22" s="1"/>
  <c r="A10" i="23"/>
  <c r="E6" i="23"/>
  <c r="F6" i="23" s="1"/>
  <c r="G6" i="23" s="1"/>
  <c r="H6" i="23" s="1"/>
  <c r="I6" i="23" s="1"/>
  <c r="J6" i="23" s="1"/>
  <c r="K6" i="23" s="1"/>
  <c r="L6" i="23" s="1"/>
  <c r="M6" i="23" s="1"/>
  <c r="N6" i="23" s="1"/>
  <c r="C2" i="23"/>
  <c r="D2" i="23" s="1"/>
  <c r="B3" i="23"/>
  <c r="B4" i="23"/>
  <c r="B7" i="24"/>
  <c r="E6" i="24"/>
  <c r="F6" i="24" s="1"/>
  <c r="G6" i="24" s="1"/>
  <c r="H6" i="24" s="1"/>
  <c r="I6" i="24" s="1"/>
  <c r="J6" i="24" s="1"/>
  <c r="K6" i="24" s="1"/>
  <c r="L6" i="24" s="1"/>
  <c r="M6" i="24" s="1"/>
  <c r="N6" i="24" s="1"/>
  <c r="A10" i="25"/>
  <c r="B7" i="25"/>
  <c r="E6" i="25"/>
  <c r="F6" i="25" s="1"/>
  <c r="G6" i="25" s="1"/>
  <c r="H6" i="25" s="1"/>
  <c r="I6" i="25" s="1"/>
  <c r="J6" i="25" s="1"/>
  <c r="K6" i="25" s="1"/>
  <c r="L6" i="25" s="1"/>
  <c r="M6" i="25" s="1"/>
  <c r="N6" i="25" s="1"/>
  <c r="B3" i="25"/>
  <c r="D3" i="15"/>
  <c r="E3" i="15"/>
  <c r="F3" i="15" s="1"/>
  <c r="G3" i="15" s="1"/>
  <c r="H3" i="15" s="1"/>
  <c r="I3" i="15" s="1"/>
  <c r="J3" i="15" s="1"/>
  <c r="K3" i="15" s="1"/>
  <c r="L3" i="15" s="1"/>
  <c r="M3" i="15" s="1"/>
  <c r="N3" i="15" s="1"/>
  <c r="B4" i="15"/>
  <c r="C4" i="15" s="1"/>
  <c r="D26" i="1"/>
  <c r="B20" i="32"/>
  <c r="F8" i="33"/>
  <c r="C3" i="23"/>
  <c r="B3" i="21"/>
  <c r="B5" i="21" s="1"/>
  <c r="D15" i="17"/>
  <c r="D2" i="24"/>
  <c r="D3" i="24" s="1"/>
  <c r="D4" i="24" s="1"/>
  <c r="D5" i="24" s="1"/>
  <c r="B4" i="24"/>
  <c r="B5" i="24" s="1"/>
  <c r="B12" i="78"/>
  <c r="D12" i="78"/>
  <c r="F12" i="78"/>
  <c r="H12" i="78"/>
  <c r="J12" i="78"/>
  <c r="L12" i="78"/>
  <c r="N12" i="78"/>
  <c r="P12" i="78"/>
  <c r="R12" i="78"/>
  <c r="T12" i="78"/>
  <c r="V12" i="78"/>
  <c r="X12" i="78"/>
  <c r="E2" i="24"/>
  <c r="F2" i="24" s="1"/>
  <c r="F3" i="24" s="1"/>
  <c r="F4" i="24" s="1"/>
  <c r="E12" i="33"/>
  <c r="G8" i="33"/>
  <c r="H8" i="33" s="1"/>
  <c r="I8" i="33" s="1"/>
  <c r="B9" i="32"/>
  <c r="B19" i="32"/>
  <c r="B11" i="32"/>
  <c r="G2" i="24"/>
  <c r="B16" i="18" l="1"/>
  <c r="B13" i="18"/>
  <c r="B14" i="18" s="1"/>
  <c r="C3" i="20"/>
  <c r="B4" i="20"/>
  <c r="B5" i="20" s="1"/>
  <c r="B3" i="20"/>
  <c r="D2" i="20"/>
  <c r="D3" i="20" s="1"/>
  <c r="B5" i="23"/>
  <c r="D4" i="21"/>
  <c r="E2" i="21"/>
  <c r="F2" i="21" s="1"/>
  <c r="F3" i="21" s="1"/>
  <c r="F12" i="33"/>
  <c r="G5" i="33"/>
  <c r="E7" i="16"/>
  <c r="D12" i="16"/>
  <c r="C4" i="23"/>
  <c r="C5" i="23" s="1"/>
  <c r="D12" i="33"/>
  <c r="C12" i="33"/>
  <c r="B3" i="22"/>
  <c r="B4" i="22" s="1"/>
  <c r="C4" i="20"/>
  <c r="C12" i="16"/>
  <c r="C15" i="16" s="1"/>
  <c r="C14" i="78"/>
  <c r="C10" i="78" s="1"/>
  <c r="D16" i="33"/>
  <c r="D14" i="33" s="1"/>
  <c r="D9" i="78"/>
  <c r="G3" i="24"/>
  <c r="G4" i="24" s="1"/>
  <c r="G5" i="24" s="1"/>
  <c r="H2" i="24"/>
  <c r="G2" i="21"/>
  <c r="H7" i="33"/>
  <c r="I7" i="33" s="1"/>
  <c r="J7" i="33" s="1"/>
  <c r="J8" i="33"/>
  <c r="C3" i="25"/>
  <c r="B4" i="25"/>
  <c r="B5" i="25" s="1"/>
  <c r="F9" i="33"/>
  <c r="E16" i="33"/>
  <c r="E14" i="33" s="1"/>
  <c r="E22" i="33" s="1"/>
  <c r="F5" i="24"/>
  <c r="E3" i="24"/>
  <c r="E4" i="24" s="1"/>
  <c r="E5" i="24" s="1"/>
  <c r="D3" i="21"/>
  <c r="D5" i="21" s="1"/>
  <c r="D2" i="22"/>
  <c r="D3" i="22" s="1"/>
  <c r="D4" i="22" s="1"/>
  <c r="C3" i="22"/>
  <c r="C4" i="22" s="1"/>
  <c r="B15" i="33"/>
  <c r="B11" i="33" s="1"/>
  <c r="B24" i="33" s="1"/>
  <c r="B22" i="33"/>
  <c r="E2" i="20"/>
  <c r="F2" i="20" s="1"/>
  <c r="D4" i="20"/>
  <c r="C4" i="21"/>
  <c r="C3" i="21"/>
  <c r="B15" i="16"/>
  <c r="B13" i="16"/>
  <c r="B14" i="16" s="1"/>
  <c r="Z12" i="78"/>
  <c r="U12" i="78"/>
  <c r="K12" i="78"/>
  <c r="C12" i="78"/>
  <c r="Q12" i="78"/>
  <c r="I12" i="78"/>
  <c r="O12" i="78"/>
  <c r="G12" i="78"/>
  <c r="B11" i="78"/>
  <c r="C4" i="24"/>
  <c r="C5" i="24" s="1"/>
  <c r="C16" i="33"/>
  <c r="C14" i="33" s="1"/>
  <c r="C11" i="78"/>
  <c r="Y12" i="78"/>
  <c r="D11" i="78"/>
  <c r="S12" i="78"/>
  <c r="W12" i="78"/>
  <c r="F2" i="80"/>
  <c r="F3" i="80" s="1"/>
  <c r="E4" i="80"/>
  <c r="E2" i="81"/>
  <c r="E3" i="81" s="1"/>
  <c r="E4" i="81" s="1"/>
  <c r="D22" i="33"/>
  <c r="D15" i="33"/>
  <c r="D11" i="33" s="1"/>
  <c r="D24" i="33" s="1"/>
  <c r="D4" i="15"/>
  <c r="C5" i="15"/>
  <c r="D4" i="23"/>
  <c r="D3" i="23"/>
  <c r="E2" i="23"/>
  <c r="E2" i="22"/>
  <c r="E9" i="17"/>
  <c r="D16" i="17"/>
  <c r="B18" i="32"/>
  <c r="B17" i="32"/>
  <c r="B16" i="32" s="1"/>
  <c r="C14" i="17"/>
  <c r="C15" i="17"/>
  <c r="C16" i="17"/>
  <c r="C13" i="16"/>
  <c r="C14" i="16" s="1"/>
  <c r="C5" i="20" l="1"/>
  <c r="D5" i="20"/>
  <c r="F4" i="21"/>
  <c r="E15" i="33"/>
  <c r="E11" i="33" s="1"/>
  <c r="E24" i="33" s="1"/>
  <c r="B21" i="33"/>
  <c r="E4" i="21"/>
  <c r="E3" i="21"/>
  <c r="E5" i="21" s="1"/>
  <c r="E3" i="20"/>
  <c r="D21" i="33"/>
  <c r="E21" i="33"/>
  <c r="E4" i="20"/>
  <c r="H5" i="33"/>
  <c r="G12" i="33"/>
  <c r="F5" i="21"/>
  <c r="D13" i="78"/>
  <c r="E9" i="78"/>
  <c r="D14" i="78"/>
  <c r="D13" i="16"/>
  <c r="D14" i="16" s="1"/>
  <c r="D15" i="16"/>
  <c r="E12" i="16"/>
  <c r="F7" i="16"/>
  <c r="G9" i="33"/>
  <c r="F16" i="33"/>
  <c r="F14" i="33" s="1"/>
  <c r="I2" i="24"/>
  <c r="H3" i="24"/>
  <c r="H4" i="24" s="1"/>
  <c r="H5" i="24" s="1"/>
  <c r="C22" i="33"/>
  <c r="C15" i="33"/>
  <c r="C21" i="33" s="1"/>
  <c r="C5" i="21"/>
  <c r="B13" i="33"/>
  <c r="B25" i="33" s="1"/>
  <c r="B20" i="33"/>
  <c r="B19" i="33"/>
  <c r="D3" i="25"/>
  <c r="C4" i="25"/>
  <c r="C5" i="25" s="1"/>
  <c r="H2" i="21"/>
  <c r="G4" i="21"/>
  <c r="G3" i="21"/>
  <c r="B14" i="17"/>
  <c r="D14" i="17"/>
  <c r="F4" i="80"/>
  <c r="G2" i="80"/>
  <c r="G3" i="80" s="1"/>
  <c r="F2" i="81"/>
  <c r="F3" i="81" s="1"/>
  <c r="F4" i="81" s="1"/>
  <c r="G2" i="20"/>
  <c r="F3" i="20"/>
  <c r="F4" i="20"/>
  <c r="F9" i="17"/>
  <c r="E16" i="17"/>
  <c r="E15" i="17"/>
  <c r="E14" i="17" s="1"/>
  <c r="F2" i="22"/>
  <c r="E3" i="22"/>
  <c r="E4" i="22" s="1"/>
  <c r="E13" i="33"/>
  <c r="E25" i="33" s="1"/>
  <c r="E20" i="33"/>
  <c r="E19" i="33"/>
  <c r="D19" i="33"/>
  <c r="D13" i="33"/>
  <c r="D25" i="33" s="1"/>
  <c r="D20" i="33"/>
  <c r="D5" i="23"/>
  <c r="E3" i="23"/>
  <c r="E4" i="23"/>
  <c r="F2" i="23"/>
  <c r="D5" i="15"/>
  <c r="E4" i="15"/>
  <c r="E5" i="20" l="1"/>
  <c r="F5" i="20"/>
  <c r="D10" i="78"/>
  <c r="I5" i="33"/>
  <c r="H12" i="33"/>
  <c r="G5" i="21"/>
  <c r="E15" i="16"/>
  <c r="E13" i="16"/>
  <c r="E14" i="16" s="1"/>
  <c r="G7" i="16"/>
  <c r="F12" i="16"/>
  <c r="F9" i="78"/>
  <c r="E14" i="78"/>
  <c r="E11" i="78"/>
  <c r="E13" i="78"/>
  <c r="J2" i="24"/>
  <c r="I3" i="24"/>
  <c r="I4" i="24" s="1"/>
  <c r="I5" i="24" s="1"/>
  <c r="F15" i="33"/>
  <c r="F22" i="33"/>
  <c r="F11" i="33"/>
  <c r="F24" i="33" s="1"/>
  <c r="H3" i="21"/>
  <c r="H4" i="21"/>
  <c r="I2" i="21"/>
  <c r="H9" i="33"/>
  <c r="G16" i="33"/>
  <c r="G14" i="33" s="1"/>
  <c r="D4" i="25"/>
  <c r="D5" i="25" s="1"/>
  <c r="E3" i="25"/>
  <c r="B18" i="33"/>
  <c r="B26" i="33"/>
  <c r="C11" i="33"/>
  <c r="C24" i="33" s="1"/>
  <c r="C19" i="33"/>
  <c r="C13" i="33"/>
  <c r="C25" i="33" s="1"/>
  <c r="C20" i="33"/>
  <c r="H2" i="80"/>
  <c r="H3" i="80" s="1"/>
  <c r="G4" i="80"/>
  <c r="G2" i="81"/>
  <c r="G3" i="81" s="1"/>
  <c r="G4" i="81" s="1"/>
  <c r="E5" i="23"/>
  <c r="D18" i="33"/>
  <c r="D26" i="33"/>
  <c r="G2" i="22"/>
  <c r="F3" i="22"/>
  <c r="F4" i="22" s="1"/>
  <c r="G9" i="17"/>
  <c r="F15" i="17"/>
  <c r="F14" i="17" s="1"/>
  <c r="F16" i="17"/>
  <c r="H2" i="20"/>
  <c r="G4" i="20"/>
  <c r="G3" i="20"/>
  <c r="F4" i="15"/>
  <c r="E5" i="15"/>
  <c r="F4" i="23"/>
  <c r="F3" i="23"/>
  <c r="G2" i="23"/>
  <c r="E26" i="33"/>
  <c r="E18" i="33"/>
  <c r="G5" i="20" l="1"/>
  <c r="E10" i="78"/>
  <c r="I12" i="33"/>
  <c r="J5" i="33"/>
  <c r="J12" i="33" s="1"/>
  <c r="F14" i="78"/>
  <c r="F11" i="78"/>
  <c r="F13" i="78"/>
  <c r="F10" i="78" s="1"/>
  <c r="G9" i="78"/>
  <c r="F15" i="16"/>
  <c r="F13" i="16"/>
  <c r="F14" i="16" s="1"/>
  <c r="H7" i="16"/>
  <c r="G12" i="16"/>
  <c r="E4" i="25"/>
  <c r="E5" i="25" s="1"/>
  <c r="F3" i="25"/>
  <c r="G22" i="33"/>
  <c r="G11" i="33"/>
  <c r="G24" i="33" s="1"/>
  <c r="G15" i="33"/>
  <c r="G21" i="33" s="1"/>
  <c r="H5" i="21"/>
  <c r="F13" i="33"/>
  <c r="F25" i="33" s="1"/>
  <c r="F20" i="33"/>
  <c r="F19" i="33"/>
  <c r="K2" i="24"/>
  <c r="J3" i="24"/>
  <c r="C26" i="33"/>
  <c r="C18" i="33"/>
  <c r="I9" i="33"/>
  <c r="H16" i="33"/>
  <c r="H14" i="33" s="1"/>
  <c r="J2" i="21"/>
  <c r="I3" i="21"/>
  <c r="I4" i="21"/>
  <c r="F21" i="33"/>
  <c r="H4" i="80"/>
  <c r="I2" i="80"/>
  <c r="I3" i="80" s="1"/>
  <c r="H2" i="81"/>
  <c r="H3" i="81" s="1"/>
  <c r="H4" i="81" s="1"/>
  <c r="I2" i="20"/>
  <c r="H3" i="20"/>
  <c r="H4" i="20"/>
  <c r="H9" i="17"/>
  <c r="G16" i="17"/>
  <c r="G15" i="17"/>
  <c r="G14" i="17" s="1"/>
  <c r="G3" i="22"/>
  <c r="G4" i="22" s="1"/>
  <c r="H2" i="22"/>
  <c r="F5" i="23"/>
  <c r="H2" i="23"/>
  <c r="G4" i="23"/>
  <c r="G3" i="23"/>
  <c r="F5" i="15"/>
  <c r="G4" i="15"/>
  <c r="G14" i="78" l="1"/>
  <c r="H9" i="78"/>
  <c r="G11" i="78"/>
  <c r="G13" i="78"/>
  <c r="G10" i="78" s="1"/>
  <c r="G15" i="16"/>
  <c r="G13" i="16"/>
  <c r="G14" i="16" s="1"/>
  <c r="I7" i="16"/>
  <c r="H12" i="16"/>
  <c r="H15" i="33"/>
  <c r="H21" i="33" s="1"/>
  <c r="H22" i="33"/>
  <c r="F18" i="33"/>
  <c r="F26" i="33"/>
  <c r="H5" i="20"/>
  <c r="I5" i="21"/>
  <c r="J9" i="33"/>
  <c r="J16" i="33" s="1"/>
  <c r="J14" i="33" s="1"/>
  <c r="I16" i="33"/>
  <c r="I14" i="33" s="1"/>
  <c r="F4" i="25"/>
  <c r="F5" i="25" s="1"/>
  <c r="G3" i="25"/>
  <c r="J4" i="24"/>
  <c r="J5" i="24" s="1"/>
  <c r="J3" i="21"/>
  <c r="K2" i="21"/>
  <c r="J4" i="21"/>
  <c r="L2" i="24"/>
  <c r="K3" i="24"/>
  <c r="G13" i="33"/>
  <c r="G25" i="33" s="1"/>
  <c r="G20" i="33"/>
  <c r="G19" i="33"/>
  <c r="J2" i="80"/>
  <c r="J3" i="80" s="1"/>
  <c r="I4" i="80"/>
  <c r="I2" i="81"/>
  <c r="I3" i="81" s="1"/>
  <c r="I4" i="81" s="1"/>
  <c r="H4" i="15"/>
  <c r="G5" i="15"/>
  <c r="I2" i="23"/>
  <c r="H3" i="23"/>
  <c r="H4" i="23"/>
  <c r="I9" i="17"/>
  <c r="H15" i="17"/>
  <c r="H14" i="17" s="1"/>
  <c r="H16" i="17"/>
  <c r="I4" i="20"/>
  <c r="I3" i="20"/>
  <c r="J2" i="20"/>
  <c r="G5" i="23"/>
  <c r="H3" i="22"/>
  <c r="H4" i="22" s="1"/>
  <c r="I2" i="22"/>
  <c r="H15" i="16" l="1"/>
  <c r="H13" i="16"/>
  <c r="H14" i="16" s="1"/>
  <c r="H13" i="78"/>
  <c r="H10" i="78" s="1"/>
  <c r="H11" i="78"/>
  <c r="H14" i="78"/>
  <c r="I9" i="78"/>
  <c r="I5" i="20"/>
  <c r="J7" i="16"/>
  <c r="J12" i="16" s="1"/>
  <c r="I12" i="16"/>
  <c r="K4" i="24"/>
  <c r="K5" i="24" s="1"/>
  <c r="L2" i="21"/>
  <c r="K4" i="21"/>
  <c r="K3" i="21"/>
  <c r="G26" i="33"/>
  <c r="G18" i="33"/>
  <c r="L3" i="24"/>
  <c r="M2" i="24"/>
  <c r="J5" i="21"/>
  <c r="I15" i="33"/>
  <c r="I11" i="33" s="1"/>
  <c r="I24" i="33" s="1"/>
  <c r="I22" i="33"/>
  <c r="H19" i="33"/>
  <c r="H13" i="33"/>
  <c r="H25" i="33" s="1"/>
  <c r="H20" i="33"/>
  <c r="G4" i="25"/>
  <c r="G5" i="25" s="1"/>
  <c r="H3" i="25"/>
  <c r="J15" i="33"/>
  <c r="J11" i="33" s="1"/>
  <c r="J24" i="33" s="1"/>
  <c r="J22" i="33"/>
  <c r="H11" i="33"/>
  <c r="H24" i="33" s="1"/>
  <c r="H5" i="23"/>
  <c r="J4" i="80"/>
  <c r="K2" i="80"/>
  <c r="K3" i="80" s="1"/>
  <c r="J2" i="81"/>
  <c r="J3" i="81" s="1"/>
  <c r="J4" i="81" s="1"/>
  <c r="K2" i="20"/>
  <c r="J3" i="20"/>
  <c r="J5" i="20" s="1"/>
  <c r="J4" i="20"/>
  <c r="I3" i="23"/>
  <c r="I4" i="23"/>
  <c r="J2" i="23"/>
  <c r="H5" i="15"/>
  <c r="I4" i="15"/>
  <c r="J2" i="22"/>
  <c r="I3" i="22"/>
  <c r="I4" i="22" s="1"/>
  <c r="I16" i="17"/>
  <c r="I15" i="17"/>
  <c r="J9" i="17"/>
  <c r="I14" i="17"/>
  <c r="J13" i="16" l="1"/>
  <c r="J14" i="16" s="1"/>
  <c r="J15" i="16"/>
  <c r="I13" i="78"/>
  <c r="I14" i="78"/>
  <c r="I11" i="78"/>
  <c r="J9" i="78"/>
  <c r="I13" i="16"/>
  <c r="I14" i="16" s="1"/>
  <c r="I15" i="16"/>
  <c r="M2" i="21"/>
  <c r="L4" i="21"/>
  <c r="L3" i="21"/>
  <c r="J13" i="33"/>
  <c r="J25" i="33" s="1"/>
  <c r="J20" i="33"/>
  <c r="J19" i="33"/>
  <c r="I20" i="33"/>
  <c r="I19" i="33"/>
  <c r="I13" i="33"/>
  <c r="I25" i="33" s="1"/>
  <c r="M3" i="24"/>
  <c r="N2" i="24"/>
  <c r="N3" i="24" s="1"/>
  <c r="H18" i="33"/>
  <c r="H26" i="33"/>
  <c r="L4" i="24"/>
  <c r="L5" i="24" s="1"/>
  <c r="K5" i="21"/>
  <c r="J21" i="33"/>
  <c r="I3" i="25"/>
  <c r="H4" i="25"/>
  <c r="H5" i="25" s="1"/>
  <c r="I21" i="33"/>
  <c r="L2" i="80"/>
  <c r="L3" i="80" s="1"/>
  <c r="K4" i="80"/>
  <c r="K2" i="81"/>
  <c r="K3" i="81" s="1"/>
  <c r="K4" i="81" s="1"/>
  <c r="I5" i="23"/>
  <c r="J14" i="17"/>
  <c r="J15" i="17"/>
  <c r="J16" i="17"/>
  <c r="K2" i="22"/>
  <c r="J3" i="22"/>
  <c r="J4" i="22" s="1"/>
  <c r="I5" i="15"/>
  <c r="J4" i="15"/>
  <c r="J4" i="23"/>
  <c r="J3" i="23"/>
  <c r="K2" i="23"/>
  <c r="L2" i="20"/>
  <c r="K4" i="20"/>
  <c r="K3" i="20"/>
  <c r="I10" i="78" l="1"/>
  <c r="K9" i="78"/>
  <c r="J14" i="78"/>
  <c r="J13" i="78"/>
  <c r="J10" i="78" s="1"/>
  <c r="J11" i="78"/>
  <c r="L5" i="21"/>
  <c r="K5" i="20"/>
  <c r="M4" i="21"/>
  <c r="N2" i="21"/>
  <c r="M3" i="21"/>
  <c r="J3" i="25"/>
  <c r="I4" i="25"/>
  <c r="I5" i="25" s="1"/>
  <c r="N4" i="24"/>
  <c r="N5" i="24" s="1"/>
  <c r="M4" i="24"/>
  <c r="M5" i="24" s="1"/>
  <c r="J26" i="33"/>
  <c r="J18" i="33"/>
  <c r="I18" i="33"/>
  <c r="I26" i="33"/>
  <c r="L4" i="80"/>
  <c r="M2" i="80"/>
  <c r="M3" i="80" s="1"/>
  <c r="L2" i="81"/>
  <c r="L3" i="81" s="1"/>
  <c r="L4" i="81" s="1"/>
  <c r="J5" i="15"/>
  <c r="K4" i="15"/>
  <c r="J5" i="23"/>
  <c r="L3" i="20"/>
  <c r="L4" i="20"/>
  <c r="M2" i="20"/>
  <c r="L2" i="23"/>
  <c r="K4" i="23"/>
  <c r="K3" i="23"/>
  <c r="K3" i="22"/>
  <c r="K4" i="22" s="1"/>
  <c r="L2" i="22"/>
  <c r="L5" i="20" l="1"/>
  <c r="K11" i="78"/>
  <c r="L9" i="78"/>
  <c r="K14" i="78"/>
  <c r="K13" i="78"/>
  <c r="M5" i="21"/>
  <c r="N3" i="21"/>
  <c r="N4" i="21"/>
  <c r="J4" i="25"/>
  <c r="J5" i="25" s="1"/>
  <c r="K3" i="25"/>
  <c r="N2" i="80"/>
  <c r="N3" i="80" s="1"/>
  <c r="M4" i="80"/>
  <c r="M2" i="81"/>
  <c r="M3" i="81" s="1"/>
  <c r="M4" i="81" s="1"/>
  <c r="K5" i="23"/>
  <c r="M2" i="22"/>
  <c r="L3" i="22"/>
  <c r="L4" i="22" s="1"/>
  <c r="N2" i="20"/>
  <c r="M4" i="20"/>
  <c r="M3" i="20"/>
  <c r="L4" i="23"/>
  <c r="L3" i="23"/>
  <c r="M2" i="23"/>
  <c r="L4" i="15"/>
  <c r="K5" i="15"/>
  <c r="M5" i="20" l="1"/>
  <c r="K10" i="78"/>
  <c r="L11" i="78"/>
  <c r="L14" i="78"/>
  <c r="M9" i="78"/>
  <c r="L13" i="78"/>
  <c r="N5" i="21"/>
  <c r="L3" i="25"/>
  <c r="K4" i="25"/>
  <c r="K5" i="25" s="1"/>
  <c r="N4" i="80"/>
  <c r="N2" i="81"/>
  <c r="N3" i="81" s="1"/>
  <c r="N4" i="81" s="1"/>
  <c r="L5" i="23"/>
  <c r="N2" i="23"/>
  <c r="M3" i="23"/>
  <c r="M4" i="23"/>
  <c r="N3" i="20"/>
  <c r="N4" i="20"/>
  <c r="M3" i="22"/>
  <c r="M4" i="22" s="1"/>
  <c r="N2" i="22"/>
  <c r="N3" i="22" s="1"/>
  <c r="N4" i="22" s="1"/>
  <c r="L5" i="15"/>
  <c r="M4" i="15"/>
  <c r="L10" i="78" l="1"/>
  <c r="N5" i="20"/>
  <c r="M11" i="78"/>
  <c r="M14" i="78"/>
  <c r="M13" i="78"/>
  <c r="M10" i="78" s="1"/>
  <c r="N9" i="78"/>
  <c r="M5" i="23"/>
  <c r="L4" i="25"/>
  <c r="L5" i="25" s="1"/>
  <c r="M3" i="25"/>
  <c r="N4" i="15"/>
  <c r="N5" i="15" s="1"/>
  <c r="M5" i="15"/>
  <c r="N3" i="23"/>
  <c r="N4" i="23"/>
  <c r="N11" i="78" l="1"/>
  <c r="O9" i="78"/>
  <c r="N14" i="78"/>
  <c r="N13" i="78"/>
  <c r="N3" i="25"/>
  <c r="M4" i="25"/>
  <c r="M5" i="25" s="1"/>
  <c r="N5" i="23"/>
  <c r="N10" i="78" l="1"/>
  <c r="O11" i="78"/>
  <c r="O14" i="78"/>
  <c r="P9" i="78"/>
  <c r="O13" i="78"/>
  <c r="N4" i="25"/>
  <c r="N5" i="25" s="1"/>
  <c r="O10" i="78" l="1"/>
  <c r="Q9" i="78"/>
  <c r="P11" i="78"/>
  <c r="P14" i="78"/>
  <c r="P13" i="78"/>
  <c r="P10" i="78" l="1"/>
  <c r="Q14" i="78"/>
  <c r="Q13" i="78"/>
  <c r="Q10" i="78" s="1"/>
  <c r="R9" i="78"/>
  <c r="Q11" i="78"/>
  <c r="R11" i="78" l="1"/>
  <c r="R13" i="78"/>
  <c r="R10" i="78" s="1"/>
  <c r="R14" i="78"/>
  <c r="S9" i="78"/>
  <c r="T9" i="78" l="1"/>
  <c r="S14" i="78"/>
  <c r="S13" i="78"/>
  <c r="S10" i="78" s="1"/>
  <c r="S11" i="78"/>
  <c r="U9" i="78" l="1"/>
  <c r="T11" i="78"/>
  <c r="T13" i="78"/>
  <c r="T10" i="78" s="1"/>
  <c r="T14" i="78"/>
  <c r="V9" i="78" l="1"/>
  <c r="U11" i="78"/>
  <c r="U13" i="78"/>
  <c r="U14" i="78"/>
  <c r="U10" i="78" l="1"/>
  <c r="V11" i="78"/>
  <c r="W9" i="78"/>
  <c r="V13" i="78"/>
  <c r="V14" i="78"/>
  <c r="V10" i="78" l="1"/>
  <c r="X9" i="78"/>
  <c r="W14" i="78"/>
  <c r="W11" i="78"/>
  <c r="W13" i="78"/>
  <c r="W10" i="78" s="1"/>
  <c r="X13" i="78" l="1"/>
  <c r="X14" i="78"/>
  <c r="Y9" i="78"/>
  <c r="X11" i="78"/>
  <c r="X10" i="78" l="1"/>
  <c r="Y11" i="78"/>
  <c r="Y14" i="78"/>
  <c r="Y13" i="78"/>
  <c r="Y10" i="78" s="1"/>
  <c r="Z9" i="78"/>
  <c r="Z14" i="78" l="1"/>
  <c r="Z13" i="78"/>
  <c r="Z10" i="78" s="1"/>
  <c r="Z11" i="78"/>
  <c r="D8" i="110" l="1"/>
  <c r="B6" i="110"/>
  <c r="C6" i="110" s="1"/>
  <c r="D6" i="110" s="1"/>
  <c r="C8" i="110"/>
  <c r="C20" i="110"/>
  <c r="C18" i="110" l="1"/>
  <c r="D7" i="110"/>
  <c r="E6" i="110"/>
  <c r="C19" i="110"/>
  <c r="D20" i="110"/>
  <c r="D17" i="110" s="1"/>
  <c r="E8" i="110"/>
  <c r="D19" i="110"/>
  <c r="B7" i="110"/>
  <c r="C17" i="110"/>
  <c r="C7" i="110"/>
  <c r="C16" i="110"/>
  <c r="E20" i="110" l="1"/>
  <c r="E17" i="110" s="1"/>
  <c r="F8" i="110"/>
  <c r="E7" i="110"/>
  <c r="F6" i="110"/>
  <c r="D18" i="110"/>
  <c r="D16" i="110" s="1"/>
  <c r="F7" i="110" l="1"/>
  <c r="G6" i="110"/>
  <c r="F20" i="110"/>
  <c r="F18" i="110" s="1"/>
  <c r="F16" i="110" s="1"/>
  <c r="F19" i="110"/>
  <c r="G8" i="110"/>
  <c r="E18" i="110"/>
  <c r="E16" i="110" s="1"/>
  <c r="E19" i="110"/>
  <c r="G20" i="110" l="1"/>
  <c r="G17" i="110" s="1"/>
  <c r="G18" i="110"/>
  <c r="G16" i="110" s="1"/>
  <c r="H8" i="110"/>
  <c r="F17" i="110"/>
  <c r="G7" i="110"/>
  <c r="H6" i="110"/>
  <c r="G19" i="110" l="1"/>
  <c r="I6" i="110"/>
  <c r="H7" i="110"/>
  <c r="H20" i="110"/>
  <c r="H19" i="110" s="1"/>
  <c r="I8" i="110"/>
  <c r="H18" i="110"/>
  <c r="H16" i="110" s="1"/>
  <c r="H17" i="110" l="1"/>
  <c r="J8" i="110"/>
  <c r="I20" i="110"/>
  <c r="I17" i="110" s="1"/>
  <c r="J6" i="110"/>
  <c r="I7" i="110"/>
  <c r="J20" i="110" l="1"/>
  <c r="J18" i="110" s="1"/>
  <c r="J16" i="110" s="1"/>
  <c r="J19" i="110"/>
  <c r="J17" i="110"/>
  <c r="J7" i="110"/>
  <c r="I19" i="110"/>
  <c r="I18" i="110"/>
  <c r="I16" i="110" s="1"/>
  <c r="C7" i="149" l="1"/>
  <c r="D7" i="149" s="1"/>
  <c r="B20" i="149"/>
  <c r="B21" i="149"/>
  <c r="C20" i="149" l="1"/>
  <c r="C21" i="149"/>
  <c r="B22" i="149"/>
  <c r="D20" i="149"/>
  <c r="D21" i="149"/>
  <c r="E7" i="149"/>
  <c r="C22" i="149" l="1"/>
  <c r="C23" i="149"/>
  <c r="B23" i="149"/>
  <c r="D22" i="149"/>
  <c r="E21" i="149"/>
  <c r="F7" i="149"/>
  <c r="E20" i="149"/>
  <c r="D23" i="149" l="1"/>
  <c r="B24" i="149"/>
  <c r="C24" i="149"/>
  <c r="E22" i="149"/>
  <c r="G7" i="149"/>
  <c r="F20" i="149"/>
  <c r="F21" i="149"/>
  <c r="B25" i="149" l="1"/>
  <c r="B33" i="149" s="1"/>
  <c r="B27" i="149"/>
  <c r="C25" i="149"/>
  <c r="C31" i="149" s="1"/>
  <c r="C27" i="149"/>
  <c r="D24" i="149"/>
  <c r="B31" i="149"/>
  <c r="B56" i="149"/>
  <c r="B32" i="149"/>
  <c r="B34" i="149"/>
  <c r="B30" i="149"/>
  <c r="E23" i="149"/>
  <c r="C56" i="149"/>
  <c r="C32" i="149"/>
  <c r="C30" i="149"/>
  <c r="C34" i="149"/>
  <c r="F22" i="149"/>
  <c r="G20" i="149"/>
  <c r="G21" i="149"/>
  <c r="H7" i="149"/>
  <c r="D25" i="149" l="1"/>
  <c r="D33" i="149" s="1"/>
  <c r="D27" i="149"/>
  <c r="D56" i="149" s="1"/>
  <c r="C33" i="149"/>
  <c r="C29" i="149" s="1"/>
  <c r="D31" i="149"/>
  <c r="D34" i="149"/>
  <c r="B29" i="149"/>
  <c r="F23" i="149"/>
  <c r="E24" i="149"/>
  <c r="D32" i="149"/>
  <c r="H20" i="149"/>
  <c r="H21" i="149"/>
  <c r="G22" i="149"/>
  <c r="D30" i="149" l="1"/>
  <c r="E25" i="149"/>
  <c r="E31" i="149" s="1"/>
  <c r="D29" i="149"/>
  <c r="E30" i="149"/>
  <c r="E32" i="149"/>
  <c r="E33" i="149"/>
  <c r="F24" i="149"/>
  <c r="G23" i="149"/>
  <c r="H22" i="149"/>
  <c r="E27" i="149" l="1"/>
  <c r="E56" i="149" s="1"/>
  <c r="E34" i="149"/>
  <c r="F25" i="149"/>
  <c r="F31" i="149" s="1"/>
  <c r="E29" i="149"/>
  <c r="G24" i="149"/>
  <c r="F33" i="149"/>
  <c r="F30" i="149"/>
  <c r="F32" i="149"/>
  <c r="H23" i="149"/>
  <c r="F34" i="149" l="1"/>
  <c r="G25" i="149"/>
  <c r="G30" i="149" s="1"/>
  <c r="F27" i="149"/>
  <c r="F56" i="149" s="1"/>
  <c r="H24" i="149"/>
  <c r="G33" i="149"/>
  <c r="F29" i="149"/>
  <c r="G27" i="149" l="1"/>
  <c r="G56" i="149" s="1"/>
  <c r="G32" i="149"/>
  <c r="H25" i="149"/>
  <c r="H31" i="149" s="1"/>
  <c r="G31" i="149"/>
  <c r="G34" i="149"/>
  <c r="G29" i="149" s="1"/>
  <c r="H33" i="149"/>
  <c r="H30" i="149"/>
  <c r="H32" i="149"/>
  <c r="H34" i="149" l="1"/>
  <c r="H27" i="149"/>
  <c r="H56" i="149" s="1"/>
  <c r="H29" i="149" l="1"/>
</calcChain>
</file>

<file path=xl/sharedStrings.xml><?xml version="1.0" encoding="utf-8"?>
<sst xmlns="http://schemas.openxmlformats.org/spreadsheetml/2006/main" count="1069" uniqueCount="453">
  <si>
    <t>V</t>
  </si>
  <si>
    <t>r</t>
  </si>
  <si>
    <t>F(V)</t>
  </si>
  <si>
    <t>s</t>
  </si>
  <si>
    <t>INVESTMENT COST</t>
  </si>
  <si>
    <t>EXCHANGE VOLATILITY</t>
  </si>
  <si>
    <t>AFTER SAMUELSON-McKEAN 1965</t>
  </si>
  <si>
    <t>INPUTS</t>
  </si>
  <si>
    <t>OUTPUTS</t>
  </si>
  <si>
    <t>INTRINSIC OPTION VALUE</t>
  </si>
  <si>
    <t>DELTA</t>
  </si>
  <si>
    <t>(B5-B6+(B7^2)/2+SQRT((B6-B5-(B7^2)/2)^2+2*B6*(B7^2)))/(B7^2)</t>
  </si>
  <si>
    <t>B8*B12/(B12-1)</t>
  </si>
  <si>
    <t>IF(B9-$B$8&gt;0,(B9-$B$8),0)</t>
  </si>
  <si>
    <t>MIN((((B9*($B$12-1))/(($B$8*$B$12)))^($B$12-1)),1)</t>
  </si>
  <si>
    <t>COST VOLATILITY</t>
  </si>
  <si>
    <t>Dean Paxson</t>
  </si>
  <si>
    <t>Manchester Business School</t>
  </si>
  <si>
    <t>CAPACITY</t>
  </si>
  <si>
    <t>ATTENDANCE</t>
  </si>
  <si>
    <t>PAYOFF DIAGRAM FOR GATE RECEIPT SHARING ARRANGEMENT</t>
  </si>
  <si>
    <t>EXPECTED GATE RECEIPTS 20 POUNDS PER ATTENDANCE</t>
  </si>
  <si>
    <t>MAN CITY</t>
  </si>
  <si>
    <t>COUNCIL</t>
  </si>
  <si>
    <t>BARRIER</t>
  </si>
  <si>
    <t>GATE REC</t>
  </si>
  <si>
    <t>RENT</t>
  </si>
  <si>
    <t>MAN CITY(-)</t>
  </si>
  <si>
    <t>COUNCIL(+)</t>
  </si>
  <si>
    <t>K</t>
  </si>
  <si>
    <t>V-K</t>
  </si>
  <si>
    <t>F''(V)</t>
  </si>
  <si>
    <t>F'(V)</t>
  </si>
  <si>
    <t>F'(V*)</t>
  </si>
  <si>
    <t>F(V*)</t>
  </si>
  <si>
    <t>b1=</t>
  </si>
  <si>
    <t>COST YIELD</t>
  </si>
  <si>
    <t xml:space="preserve">CORRELATION </t>
  </si>
  <si>
    <t>ASSET VALUE</t>
  </si>
  <si>
    <t>B3-B4</t>
  </si>
  <si>
    <t xml:space="preserve">                                                       Perpetual American Option</t>
  </si>
  <si>
    <t>0.5-(B6-B7)/(B5^2)+SQRT(((B6-B7)/(B5^2)-0.5)^2 + 2*B6/(B5^2))</t>
  </si>
  <si>
    <t>IF(B3&lt;B12,B13*(B3^B14),B10)</t>
  </si>
  <si>
    <t>IF(B3&lt;B12,B13*B14*(B3^(B14-1)),1)</t>
  </si>
  <si>
    <t>(B14/(B14-1))*B4</t>
  </si>
  <si>
    <t>(B12-B4)/(B12^B14)</t>
  </si>
  <si>
    <t>IF(B9&gt;$B$13,B15,($B$13-$B$8)*((B9/$B$13)^$B$12))</t>
  </si>
  <si>
    <t xml:space="preserve">                                                                                                       SAMUELSON-MCKEAN: REAL AMERCAN PERPETUAL CALL OPTION</t>
  </si>
  <si>
    <t>STOCHASTIC V</t>
  </si>
  <si>
    <t>IF(M5&lt;M14,M15*(M5^M16),M12)</t>
  </si>
  <si>
    <t>M5-M6</t>
  </si>
  <si>
    <t>M15*M16*(M5^(M16-1))</t>
  </si>
  <si>
    <t>(M16/(M16-1))*M6</t>
  </si>
  <si>
    <t>(M14-M6)/(M14^M16)</t>
  </si>
  <si>
    <t>0.5-(M8-M9)/(M7^2)+SQRT(((M8-M9)/(M7^2)-0.5)^2 + 2*M8/(M7^2))</t>
  </si>
  <si>
    <t>0.5*(M7^2)*(M5^2)*M19+(M8-M9)*M5*M13-M8*M11</t>
  </si>
  <si>
    <t>M15*M16*(M16-1)*(M5^(M16-2))</t>
  </si>
  <si>
    <t>M15*M16*(M14^(M16-1))</t>
  </si>
  <si>
    <t>IF(M5&lt;M14,M15*(M14^M16),M12)</t>
  </si>
  <si>
    <t>M14-M6</t>
  </si>
  <si>
    <t>Asset VOLATILITY</t>
  </si>
  <si>
    <t>DEVELOPED Asset VALUE</t>
  </si>
  <si>
    <t>DEVELOPMENT OPTION VALUE</t>
  </si>
  <si>
    <t>0.5*(B5^2)*(B3^2)*B17+(B6-B7)*B3*B11-B6*B9</t>
  </si>
  <si>
    <t>IF(B3&lt;B12,B13*B14*(B14-1)*(B3^(B14-2)),0)</t>
  </si>
  <si>
    <t>B13*B14*(B12^(B14-1))</t>
  </si>
  <si>
    <t>IF(B3&lt;B12,B13*(B12^B14),B10)</t>
  </si>
  <si>
    <t>B12-B4</t>
  </si>
  <si>
    <t>V*-K</t>
  </si>
  <si>
    <t>AMERICAN PERPETUAL CALL OPTION</t>
  </si>
  <si>
    <t>ROV</t>
  </si>
  <si>
    <t>Investment Cost, K</t>
  </si>
  <si>
    <t>Developed Asset Value, V</t>
  </si>
  <si>
    <t>X</t>
  </si>
  <si>
    <t>Z</t>
  </si>
  <si>
    <t>NPV</t>
  </si>
  <si>
    <t>$B$6*B9-$B$4*$B$7</t>
  </si>
  <si>
    <t>$B$4*$B$7</t>
  </si>
  <si>
    <t>IF(B9&lt;$B$4,$B$6*B9,$B$8*$B$6*B9)</t>
  </si>
  <si>
    <t>IF(B9&lt;$B$4,0,(1-$B$8)*$B$6*B9)</t>
  </si>
  <si>
    <t>COUNCIL RECEIVES 40% OF GATE RECEIPTS OVER 34000, 2 POUNDS/ATTENDANCE RENT</t>
  </si>
  <si>
    <t>CITY(-), COUNCIL(+)</t>
  </si>
  <si>
    <t>Asset Volatility</t>
  </si>
  <si>
    <t>AFTER SAMUELSON-McKEAN (1965)</t>
  </si>
  <si>
    <t>REAL OPTION PAYOFFS</t>
  </si>
  <si>
    <t>Option cost, y</t>
  </si>
  <si>
    <t>STRATEGY RESULT</t>
  </si>
  <si>
    <t>OWN ASSET-DEBT</t>
  </si>
  <si>
    <t>WRITE REAL CALL INTRINSIC</t>
  </si>
  <si>
    <t xml:space="preserve">  STRATEGY RESULT equals write real put on net asset value.</t>
  </si>
  <si>
    <t>B2+B3</t>
  </si>
  <si>
    <t>BUY REAL PUT INTRINSIC</t>
  </si>
  <si>
    <t xml:space="preserve">  STRATEGY RESULT equals buy real call on net asset value at nil exercise cost.</t>
  </si>
  <si>
    <t>IF(B2&lt;0,-B2-$B$6,-$B$6)</t>
  </si>
  <si>
    <t>BUY REAL CALL INTRINSIC</t>
  </si>
  <si>
    <t>NET ASSET VALUE</t>
  </si>
  <si>
    <t>REQUIRE USE OF NET ASSET</t>
  </si>
  <si>
    <t xml:space="preserve">  STRATEGY RESULT equals buy real put on net asset value.</t>
  </si>
  <si>
    <t>IF(B2&gt;0,B2-$B$7,-$B$7)</t>
  </si>
  <si>
    <t>B3+B4</t>
  </si>
  <si>
    <t>WRITE REAL PUT INTRINSIC</t>
  </si>
  <si>
    <t>IF(B2&lt;0,B2+$B$7,$B$7)</t>
  </si>
  <si>
    <t xml:space="preserve">  STRATEGY RESULT equals write real call on net asset value.</t>
  </si>
  <si>
    <t>Option cost, y2</t>
  </si>
  <si>
    <t>Option cost, y1</t>
  </si>
  <si>
    <t xml:space="preserve">  STRATEGY RESULT equals real collar.</t>
  </si>
  <si>
    <t>IF(B2&gt;$B$6,$B$6-B2+$B$9,$B$9)</t>
  </si>
  <si>
    <t>IF(B2&lt;$B$7,-B2-$B$7-$B$10,-$B$10)</t>
  </si>
  <si>
    <t>B2+B3+B4</t>
  </si>
  <si>
    <t>SHORT FUTURES POSITION</t>
  </si>
  <si>
    <t>Hedging cost, y</t>
  </si>
  <si>
    <t xml:space="preserve">  STRATEGY RESULT equals net gain/loss of hedging cost.</t>
  </si>
  <si>
    <t>REAL POSITION PAYOFFS</t>
  </si>
  <si>
    <t>Debt, K</t>
  </si>
  <si>
    <t xml:space="preserve">   Own asset subject to debt K, short an equivalent amount of commodity future, at hedging cost  y.</t>
  </si>
  <si>
    <t xml:space="preserve"> Own asset subject to debt K, give investor an option to buy net asset at nil cost, for immediate payment of option premium of y.</t>
  </si>
  <si>
    <t>Require use of  asset subject to debt K, buy option to buy net asset at nil cost, for immediate payment of option premium of y.</t>
  </si>
  <si>
    <t xml:space="preserve">   Own asset subject to debt K, buy right to sell asset at debt amount K, for immediate payment of option premium of y.</t>
  </si>
  <si>
    <t>Require use of  asset subject to debt K, write option to sell net asset at nil cost, for immediate payment of option premium of y.</t>
  </si>
  <si>
    <t xml:space="preserve">WRITE REAL CALL AT K2 INTRINSIC </t>
  </si>
  <si>
    <t>BUY REAL PUT AT K1 INTRINSIC</t>
  </si>
  <si>
    <t>K2</t>
  </si>
  <si>
    <t>K1</t>
  </si>
  <si>
    <t xml:space="preserve">   Own asset subject to debt K, buy a "costless protective put" (=protective collar).</t>
  </si>
  <si>
    <t>EXCHANGE CALL OPTION VALUE</t>
  </si>
  <si>
    <r>
      <t xml:space="preserve">Yield, </t>
    </r>
    <r>
      <rPr>
        <sz val="10"/>
        <rFont val="Symbol"/>
        <family val="1"/>
        <charset val="2"/>
      </rPr>
      <t>d</t>
    </r>
  </si>
  <si>
    <r>
      <t>Riskless rate, r</t>
    </r>
    <r>
      <rPr>
        <vertAlign val="subscript"/>
        <sz val="10"/>
        <rFont val="Arial"/>
        <family val="2"/>
      </rPr>
      <t>f</t>
    </r>
  </si>
  <si>
    <r>
      <t xml:space="preserve">ROV </t>
    </r>
    <r>
      <rPr>
        <sz val="10"/>
        <rFont val="Symbol"/>
        <family val="1"/>
        <charset val="2"/>
      </rPr>
      <t>G</t>
    </r>
  </si>
  <si>
    <r>
      <t xml:space="preserve">ROV </t>
    </r>
    <r>
      <rPr>
        <sz val="10"/>
        <rFont val="Symbol"/>
        <family val="1"/>
        <charset val="2"/>
      </rPr>
      <t>D</t>
    </r>
  </si>
  <si>
    <r>
      <t>b</t>
    </r>
    <r>
      <rPr>
        <vertAlign val="subscript"/>
        <sz val="10"/>
        <rFont val="Symbol"/>
        <family val="1"/>
        <charset val="2"/>
      </rPr>
      <t>1</t>
    </r>
  </si>
  <si>
    <r>
      <t>b</t>
    </r>
    <r>
      <rPr>
        <vertAlign val="subscript"/>
        <sz val="10"/>
        <rFont val="Symbol"/>
        <family val="1"/>
        <charset val="2"/>
      </rPr>
      <t>2</t>
    </r>
  </si>
  <si>
    <t>C</t>
  </si>
  <si>
    <t>D</t>
  </si>
  <si>
    <t>FIGURE</t>
  </si>
  <si>
    <r>
      <t>s</t>
    </r>
    <r>
      <rPr>
        <vertAlign val="superscript"/>
        <sz val="10"/>
        <rFont val="Symbol"/>
        <family val="1"/>
        <charset val="2"/>
      </rPr>
      <t>2</t>
    </r>
  </si>
  <si>
    <t>Yield</t>
  </si>
  <si>
    <t>ASSETS</t>
  </si>
  <si>
    <t>t</t>
  </si>
  <si>
    <t>CALL INTRINSIC VALUE</t>
  </si>
  <si>
    <t>x</t>
  </si>
  <si>
    <t xml:space="preserve"> </t>
  </si>
  <si>
    <t>a</t>
  </si>
  <si>
    <t>A2</t>
  </si>
  <si>
    <t>A1</t>
  </si>
  <si>
    <t>b</t>
  </si>
  <si>
    <t>V*</t>
  </si>
  <si>
    <t>IF(B3&gt;0,-B3+$B$7,$B$7)</t>
  </si>
  <si>
    <t>-B3+$B$7</t>
  </si>
  <si>
    <t>INPUT</t>
  </si>
  <si>
    <t>VOLATILITY</t>
  </si>
  <si>
    <t>OUTPUT</t>
  </si>
  <si>
    <t>A</t>
  </si>
  <si>
    <t>b1</t>
  </si>
  <si>
    <t>CHAPTER 1</t>
  </si>
  <si>
    <t>INTRINSIC CALL</t>
  </si>
  <si>
    <t>CALL OPTION</t>
  </si>
  <si>
    <t>CHAPTER 2</t>
  </si>
  <si>
    <t>CHAPTER 3</t>
  </si>
  <si>
    <t>HEDGING1</t>
  </si>
  <si>
    <t>"Perfect Hedging" with Futures</t>
  </si>
  <si>
    <t>STRATEGY1</t>
  </si>
  <si>
    <t>Write Put Strategy</t>
  </si>
  <si>
    <t>STRATEGY2</t>
  </si>
  <si>
    <t>Buy Put Strategy</t>
  </si>
  <si>
    <t>STRATEGY3</t>
  </si>
  <si>
    <t>Protective Put Strategy</t>
  </si>
  <si>
    <t>STRATEGY4</t>
  </si>
  <si>
    <t>Write Call Strategy</t>
  </si>
  <si>
    <t>STRATEGY5</t>
  </si>
  <si>
    <t>Collar Strategy</t>
  </si>
  <si>
    <t>SHARING</t>
  </si>
  <si>
    <t>CHAPTER 4</t>
  </si>
  <si>
    <t>SAMUELSON1</t>
  </si>
  <si>
    <t>SAMUELSON2</t>
  </si>
  <si>
    <t>DELTA, GAMMA</t>
  </si>
  <si>
    <t>Intrinsic Call Option Value</t>
  </si>
  <si>
    <t>Model and Intrinsic Call Option Value</t>
  </si>
  <si>
    <t>Gate receipt sharing arrangement lease</t>
  </si>
  <si>
    <t>Delta, ROV, V* vs Volatility</t>
  </si>
  <si>
    <t>Perpetual Delta &amp; Gamma vs Interest Rates</t>
  </si>
  <si>
    <t>AMER_PERP</t>
  </si>
  <si>
    <t>EXERCISE PRICE</t>
  </si>
  <si>
    <t>CALL PRICE</t>
  </si>
  <si>
    <t>RISKLESS RATE</t>
  </si>
  <si>
    <t>ODE</t>
  </si>
  <si>
    <t>ASSET</t>
  </si>
  <si>
    <t>CALL INTRINSIC</t>
  </si>
  <si>
    <t>d</t>
  </si>
  <si>
    <t>#1 Session</t>
  </si>
  <si>
    <t>#2 Session</t>
  </si>
  <si>
    <t>HOLD REAL CALL INTRINSIC</t>
  </si>
  <si>
    <t>Own property subject to debt K, hold an option to renovate net asset at nil cost, immediate payment of option premium of y.</t>
  </si>
  <si>
    <t xml:space="preserve">  STRATEGY RESULT equals extreme upside potential, downside reduced by option premium.</t>
  </si>
  <si>
    <t>IF(B2&lt;0,B2-$B$6,-$B$6)</t>
  </si>
  <si>
    <t>OWN LEVERAGED PROPERTY</t>
  </si>
  <si>
    <t>RENOVATION REQUIREMENT</t>
  </si>
  <si>
    <t>IF(B2&lt;0,B2+$B$6,+$B$6)</t>
  </si>
  <si>
    <t>Own property subject to debt K, have requirement to renovate up to K value for receipt of put option premium of y.</t>
  </si>
  <si>
    <t xml:space="preserve">  STRATEGY RESULT equals extreme downside potential, and slight improvement in upside.</t>
  </si>
  <si>
    <t>Renovation Call Option</t>
  </si>
  <si>
    <t>RENOVATION</t>
  </si>
  <si>
    <t>RENOVATION REQUIRED</t>
  </si>
  <si>
    <t>Renovation Put</t>
  </si>
  <si>
    <t>y</t>
  </si>
  <si>
    <t>ρ</t>
  </si>
  <si>
    <t>Y</t>
  </si>
  <si>
    <t>BASICS</t>
  </si>
  <si>
    <t>STRATEGIES</t>
  </si>
  <si>
    <t>TOPIC</t>
  </si>
  <si>
    <t>ODE PROOF for DEBT CLAIM</t>
  </si>
  <si>
    <r>
      <t>m=</t>
    </r>
    <r>
      <rPr>
        <sz val="10"/>
        <rFont val="Tahoma"/>
        <family val="2"/>
      </rPr>
      <t>r</t>
    </r>
    <r>
      <rPr>
        <sz val="10"/>
        <rFont val="Symbol"/>
        <family val="1"/>
        <charset val="2"/>
      </rPr>
      <t>-d</t>
    </r>
  </si>
  <si>
    <t>r(f)</t>
  </si>
  <si>
    <r>
      <t>V</t>
    </r>
    <r>
      <rPr>
        <vertAlign val="subscript"/>
        <sz val="10"/>
        <rFont val="Tahoma"/>
        <family val="2"/>
      </rPr>
      <t>B</t>
    </r>
    <r>
      <rPr>
        <sz val="10"/>
        <rFont val="Tahoma"/>
        <family val="2"/>
      </rPr>
      <t xml:space="preserve">   </t>
    </r>
  </si>
  <si>
    <t>D* (V)</t>
  </si>
  <si>
    <t xml:space="preserve">ODE </t>
  </si>
  <si>
    <t>0.5*(B9^2)*(B4^2)*B20+B12*B4*B19-B12*B15+B5</t>
  </si>
  <si>
    <t xml:space="preserve">D'(V) </t>
  </si>
  <si>
    <t xml:space="preserve">D''(V)  </t>
  </si>
  <si>
    <t>EQUITY</t>
  </si>
  <si>
    <t>Real Debt Strategy</t>
  </si>
  <si>
    <t>Figure 10.1</t>
  </si>
  <si>
    <t>BASE CASE</t>
  </si>
  <si>
    <t>ACCOUNTS</t>
  </si>
  <si>
    <t>REAL</t>
  </si>
  <si>
    <t>DEBT</t>
  </si>
  <si>
    <t>EQ</t>
  </si>
  <si>
    <t>BASE</t>
  </si>
  <si>
    <t>NOM V</t>
  </si>
  <si>
    <t>Coupon</t>
  </si>
  <si>
    <t>NOM Debt</t>
  </si>
  <si>
    <t>D*</t>
  </si>
  <si>
    <t>E*</t>
  </si>
  <si>
    <t>Figure 10.2</t>
  </si>
  <si>
    <t>Figure 10.10</t>
  </si>
  <si>
    <t>REAL 1</t>
  </si>
  <si>
    <t>REAL 2</t>
  </si>
  <si>
    <t>REAL 3</t>
  </si>
  <si>
    <t>REAL 4</t>
  </si>
  <si>
    <t>REAL 5</t>
  </si>
  <si>
    <t>REAL 6</t>
  </si>
  <si>
    <t>REAL 7</t>
  </si>
  <si>
    <t>WE CHOOSE</t>
  </si>
  <si>
    <t>YOU CHOOSE</t>
  </si>
  <si>
    <t>NEGOTIATE</t>
  </si>
  <si>
    <t>Retained Equity</t>
  </si>
  <si>
    <r>
      <t>V</t>
    </r>
    <r>
      <rPr>
        <vertAlign val="subscript"/>
        <sz val="10"/>
        <rFont val="Tahoma"/>
        <family val="2"/>
      </rPr>
      <t xml:space="preserve">B   </t>
    </r>
  </si>
  <si>
    <t>LTV MAX</t>
  </si>
  <si>
    <t>SHARED EQUITY</t>
  </si>
  <si>
    <t>DEBT LOSS + SH EQ</t>
  </si>
  <si>
    <t>CHANGE DEBT LOSS</t>
  </si>
  <si>
    <t>#3 Session</t>
  </si>
  <si>
    <t>REAL INVESTMENT GROWTH OPTION</t>
  </si>
  <si>
    <t>Perpetual American Option ODE</t>
  </si>
  <si>
    <t>TOURINHO 79</t>
  </si>
  <si>
    <t>H</t>
  </si>
  <si>
    <t>-2*B4/B6</t>
  </si>
  <si>
    <t>(1-(1-B4*B8/B7)^((B10-1)/B10))^-1</t>
  </si>
  <si>
    <t>-B11/(B10*B14^(B10-1))</t>
  </si>
  <si>
    <t>(B10/(B10-1))*(B8-B7/B4)*(1/(1-B11))</t>
  </si>
  <si>
    <t>(B10/(B10-1))*(B7/B4)*(1/B11)</t>
  </si>
  <si>
    <t>B11*B3+B12*B3^B10-B7/B4</t>
  </si>
  <si>
    <t>IF(B3&lt;B14,0,(IF(B3&gt;B13,B16,B17)))</t>
  </si>
  <si>
    <t>C(V)</t>
  </si>
  <si>
    <t>MAX(V-X,0)</t>
  </si>
  <si>
    <t>TOURINHO MODEL I</t>
  </si>
  <si>
    <t>American Perpetual Call Option</t>
  </si>
  <si>
    <r>
      <rPr>
        <sz val="10"/>
        <rFont val="Symbol"/>
        <family val="1"/>
        <charset val="2"/>
      </rPr>
      <t>b</t>
    </r>
    <r>
      <rPr>
        <vertAlign val="subscript"/>
        <sz val="10"/>
        <rFont val="Arial"/>
        <family val="2"/>
      </rPr>
      <t>12</t>
    </r>
  </si>
  <si>
    <t>b2</t>
  </si>
  <si>
    <t>(1-B11)*(B5/B12)*(-B16/(-B16+1))</t>
  </si>
  <si>
    <t>(B5/B12)+((1-B10)*B14-(B5/B12))*(B14/B4)^-B16</t>
  </si>
  <si>
    <t>B16*((1-B10)*B14-(B5/B12))*(1/B4)*(B14/B4)^-B16</t>
  </si>
  <si>
    <t>((B16^2)-B16)*((1-B10)*B14-(B5/B12))*(1/(B4^2))*(B14/B4)^-B16</t>
  </si>
  <si>
    <t>(0.5-(B12-B7)/(B9^2)-SQRT((0.5-(B12-B7)/(B9^2))^2+2*B12/(B9^2)))</t>
  </si>
  <si>
    <t>A6</t>
  </si>
  <si>
    <t>A7</t>
  </si>
  <si>
    <t>(0.5-(C17-C13)/(C14^2)-SQRT((0.5-(C17-C13)/(C14^2))^2+2*C17/(C14^2)))</t>
  </si>
  <si>
    <t>(1-C16)*(C11/C17)*(-C20/(-C20+1))</t>
  </si>
  <si>
    <t>C10+(C16*C11/C17)*(1-(C19/C10)^-C20)-C15*C19*(C19/C10)^-C20</t>
  </si>
  <si>
    <t>(C11/C17)+((1-C15)*C19-(C11/C17))*(C19/C10)^-C20</t>
  </si>
  <si>
    <t>C10-(1-C16)*(C11/C17)+((1-C16)*(C11/C17)-C19)*((C19/C10)^-C20)</t>
  </si>
  <si>
    <t>$B$6-C6</t>
  </si>
  <si>
    <t>Figure 10.11</t>
  </si>
  <si>
    <t>Real Debt Strategy i</t>
  </si>
  <si>
    <t>LTV</t>
  </si>
  <si>
    <t>$B$6/D22</t>
  </si>
  <si>
    <t>$B$6-D6+D23*D7</t>
  </si>
  <si>
    <t>C24-$B$24</t>
  </si>
  <si>
    <t>$B$12/D5</t>
  </si>
  <si>
    <t>S</t>
  </si>
  <si>
    <t>GUIDE TO REAL OPTION VALUE EXCEL SHEETS</t>
  </si>
  <si>
    <t>REAL OPTION VALUE EXCEL Feb 2020</t>
  </si>
  <si>
    <t>#4 Session</t>
  </si>
  <si>
    <t>FINDING REAL OPTIONS</t>
  </si>
  <si>
    <t>Real Option Value</t>
  </si>
  <si>
    <t>PUT PRICE</t>
  </si>
  <si>
    <t>PUT INTRINSIC</t>
  </si>
  <si>
    <t>IF(B3&lt;B10,B9,(B4-B10)*((B3/B10)^B11))</t>
  </si>
  <si>
    <t>IF(B3&gt;B10,B9,(B10-B4)*((B3/B10)^B11))</t>
  </si>
  <si>
    <t>IF(B3-B4&gt;0,(B3-B4),0)</t>
  </si>
  <si>
    <t>B4*B11/(B11-1)</t>
  </si>
  <si>
    <t>IF(B4-B3&gt;0,(B4-B3),0)</t>
  </si>
  <si>
    <t>V*/K*</t>
  </si>
  <si>
    <t>ASSET YIELD</t>
  </si>
  <si>
    <t>ASSET VOLATILITY</t>
  </si>
  <si>
    <t>EXCHANGE INTRINSIC</t>
  </si>
  <si>
    <t>SQRT(B7^2 + B8^2 -2*B9*B8*B7)</t>
  </si>
  <si>
    <t>IF((B3/B4)&lt;B13,(B13-1)*B4*((B3/B4)/B13)^B14,B3-B4)</t>
  </si>
  <si>
    <t>IF(B3-B4&gt;0, B3-B4,0)</t>
  </si>
  <si>
    <t>B14/(B14-1)</t>
  </si>
  <si>
    <t>PUT OPTION</t>
  </si>
  <si>
    <t>EXCHANGE OPTION</t>
  </si>
  <si>
    <t>Model and Intrinsic Put Option Value</t>
  </si>
  <si>
    <t>Model and Intrinsic Exchange Option Value</t>
  </si>
  <si>
    <t xml:space="preserve">ROV=V^- K </t>
  </si>
  <si>
    <t>INVESTMENT OPTION</t>
  </si>
  <si>
    <t>DISINVESTMENT OPTION</t>
  </si>
  <si>
    <t>SWITCHING OPTION</t>
  </si>
  <si>
    <t>LEVERAGE OPTION</t>
  </si>
  <si>
    <t>VALUE MATCHING</t>
  </si>
  <si>
    <t>DEFAULT OPTION</t>
  </si>
  <si>
    <t>B6-B18</t>
  </si>
  <si>
    <t>B5+(B12*B8/B13)*(1-(B20/B5)^-B21)-B11*B20*(B20/B5)^-B21</t>
  </si>
  <si>
    <t>(B8/B13)+((1-B11)*B20-(B8/B13))*(B20/B5)^-B21</t>
  </si>
  <si>
    <t>B5-(1-B12)*(B8/B13)+((1-B12)*(B8/B13)-B20)*((B20/B5)^-B21)</t>
  </si>
  <si>
    <t>(1-B12)*(B8/B13)*(-B21/(-B21+1))</t>
  </si>
  <si>
    <t>(0.5-(B13-B9)/(B10^2)-SQRT((0.5-(B13-B9)/(B10^2))^2+2*B13/(B10^2)))</t>
  </si>
  <si>
    <t>NET ASSET</t>
  </si>
  <si>
    <t>REAL EQUITY VALUE</t>
  </si>
  <si>
    <t>IF(B3&gt;B19,B3-(1-B10)*(B6/B11)+((1-B10)*(B6/B11)-B19)*((B19/B3)^-B20),0)</t>
  </si>
  <si>
    <t>IF(B3&gt;B4,B3-B4,0)</t>
  </si>
  <si>
    <t>NOMINAL DEBT</t>
  </si>
  <si>
    <t>IF(B3&gt;B19,B3+(B10*B6/B11)*(1-(B19/B3)^-B20)-B9*B19*(B19/B3)^-B20,(1-B9)*B3)</t>
  </si>
  <si>
    <t>IF(B3&gt;B19,(B6/B11)+((1-B9)*B19-(B6/B11))*(B19/B3)^-B20,B9*B3)</t>
  </si>
  <si>
    <r>
      <t>Simplified St</t>
    </r>
    <r>
      <rPr>
        <sz val="11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re et al. 2018 Analytical Solution Output Switching </t>
    </r>
  </si>
  <si>
    <t>x^</t>
  </si>
  <si>
    <t>C(x^)</t>
  </si>
  <si>
    <t>f(x^)</t>
  </si>
  <si>
    <t>g(x^)</t>
  </si>
  <si>
    <r>
      <rPr>
        <sz val="10"/>
        <color indexed="8"/>
        <rFont val="Symbol"/>
        <family val="1"/>
        <charset val="2"/>
      </rPr>
      <t>b</t>
    </r>
    <r>
      <rPr>
        <sz val="10"/>
        <color indexed="8"/>
        <rFont val="Arial"/>
        <family val="2"/>
      </rPr>
      <t>(x^)</t>
    </r>
  </si>
  <si>
    <r>
      <rPr>
        <sz val="10"/>
        <color indexed="8"/>
        <rFont val="Symbol"/>
        <family val="1"/>
        <charset val="2"/>
      </rPr>
      <t>h</t>
    </r>
    <r>
      <rPr>
        <sz val="10"/>
        <color indexed="8"/>
        <rFont val="Arial"/>
        <family val="2"/>
      </rPr>
      <t>(x^)</t>
    </r>
  </si>
  <si>
    <t>y^</t>
  </si>
  <si>
    <t xml:space="preserve">A </t>
  </si>
  <si>
    <t>VALUE</t>
  </si>
  <si>
    <t xml:space="preserve">PDE </t>
  </si>
  <si>
    <r>
      <rPr>
        <sz val="11"/>
        <color indexed="8"/>
        <rFont val="Symbol"/>
        <family val="1"/>
        <charset val="2"/>
      </rPr>
      <t>D</t>
    </r>
    <r>
      <rPr>
        <sz val="11"/>
        <color indexed="8"/>
        <rFont val="Calibri"/>
        <family val="1"/>
      </rPr>
      <t>ROV1,x</t>
    </r>
  </si>
  <si>
    <r>
      <rPr>
        <sz val="11"/>
        <color indexed="8"/>
        <rFont val="Symbol"/>
        <family val="1"/>
        <charset val="2"/>
      </rPr>
      <t>D</t>
    </r>
    <r>
      <rPr>
        <sz val="11"/>
        <color indexed="8"/>
        <rFont val="Calibri"/>
        <family val="1"/>
      </rPr>
      <t>ROV1,y</t>
    </r>
  </si>
  <si>
    <r>
      <rPr>
        <sz val="11"/>
        <color indexed="8"/>
        <rFont val="Symbol"/>
        <family val="1"/>
        <charset val="2"/>
      </rPr>
      <t>G</t>
    </r>
    <r>
      <rPr>
        <sz val="11"/>
        <color indexed="8"/>
        <rFont val="Calibri"/>
        <family val="1"/>
      </rPr>
      <t>ROV1, x</t>
    </r>
  </si>
  <si>
    <r>
      <rPr>
        <sz val="11"/>
        <color indexed="8"/>
        <rFont val="Symbol"/>
        <family val="1"/>
        <charset val="2"/>
      </rPr>
      <t>G</t>
    </r>
    <r>
      <rPr>
        <sz val="11"/>
        <color indexed="8"/>
        <rFont val="Calibri"/>
        <family val="1"/>
      </rPr>
      <t>ROV1,y</t>
    </r>
  </si>
  <si>
    <r>
      <rPr>
        <sz val="11"/>
        <color indexed="8"/>
        <rFont val="Symbol"/>
        <family val="1"/>
        <charset val="2"/>
      </rPr>
      <t>G</t>
    </r>
    <r>
      <rPr>
        <sz val="11"/>
        <color indexed="8"/>
        <rFont val="Calibri"/>
        <family val="1"/>
      </rPr>
      <t>ROV1,x,y</t>
    </r>
  </si>
  <si>
    <t>cx</t>
  </si>
  <si>
    <t>cy</t>
  </si>
  <si>
    <r>
      <rPr>
        <sz val="10"/>
        <rFont val="Symbol"/>
        <family val="1"/>
        <charset val="2"/>
      </rPr>
      <t>r</t>
    </r>
  </si>
  <si>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>x</t>
    </r>
  </si>
  <si>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>y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</si>
  <si>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1"/>
        <charset val="2"/>
        <scheme val="minor"/>
      </rPr>
      <t>x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</si>
  <si>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1"/>
        <charset val="2"/>
        <scheme val="minor"/>
      </rPr>
      <t>y</t>
    </r>
  </si>
  <si>
    <r>
      <t>Simplified St</t>
    </r>
    <r>
      <rPr>
        <sz val="11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re et al. 2018 Analytical Solution IN-OUT StartUp Switching </t>
    </r>
  </si>
  <si>
    <t>δx</t>
  </si>
  <si>
    <t>δy</t>
  </si>
  <si>
    <t>σx</t>
  </si>
  <si>
    <t>σy</t>
  </si>
  <si>
    <r>
      <rPr>
        <sz val="10"/>
        <color rgb="FF000000"/>
        <rFont val="Symbol"/>
        <family val="1"/>
        <charset val="2"/>
      </rPr>
      <t>b</t>
    </r>
    <r>
      <rPr>
        <vertAlign val="subscript"/>
        <sz val="10"/>
        <color rgb="FF000000"/>
        <rFont val="Symbol"/>
        <family val="1"/>
        <charset val="2"/>
      </rPr>
      <t>1</t>
    </r>
    <r>
      <rPr>
        <sz val="10"/>
        <color rgb="FF000000"/>
        <rFont val="Arial"/>
        <family val="1"/>
        <charset val="2"/>
      </rPr>
      <t>(x^)</t>
    </r>
  </si>
  <si>
    <r>
      <rPr>
        <sz val="10"/>
        <color rgb="FF000000"/>
        <rFont val="Symbol"/>
        <family val="1"/>
        <charset val="2"/>
      </rPr>
      <t>b</t>
    </r>
    <r>
      <rPr>
        <vertAlign val="subscript"/>
        <sz val="10"/>
        <color rgb="FF000000"/>
        <rFont val="Symbol"/>
        <family val="1"/>
        <charset val="2"/>
      </rPr>
      <t>2</t>
    </r>
    <r>
      <rPr>
        <sz val="10"/>
        <color rgb="FF000000"/>
        <rFont val="Arial"/>
        <family val="1"/>
        <charset val="2"/>
      </rPr>
      <t>(x^)</t>
    </r>
  </si>
  <si>
    <t>b(x^)</t>
  </si>
  <si>
    <t>h(x^)</t>
  </si>
  <si>
    <r>
      <t>Simplified St</t>
    </r>
    <r>
      <rPr>
        <sz val="11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re et al. 2018 Analytical Solution IN-OUT Shut Down </t>
    </r>
  </si>
  <si>
    <t>x OUT</t>
  </si>
  <si>
    <t>y IN</t>
  </si>
  <si>
    <t>X-Y</t>
  </si>
  <si>
    <t>IN OUT Start Up Option</t>
  </si>
  <si>
    <t>IN OUT Shut Down Option</t>
  </si>
  <si>
    <t>OUT - OUT Switching Option</t>
  </si>
  <si>
    <t>Real American Perpetual Call+Holding Cost</t>
  </si>
  <si>
    <t>Leveraged Equity</t>
  </si>
  <si>
    <t>B22*(B22-1)*B25*(B3^(B22-2))*(B4^B23)</t>
  </si>
  <si>
    <t>B25*(B3^B22)*(B4^B23)</t>
  </si>
  <si>
    <t>INVESTMENT COST K</t>
  </si>
  <si>
    <t>ASSET VALUE V</t>
  </si>
  <si>
    <t>B10-B4</t>
  </si>
  <si>
    <t>((B14-1)^(B14-1))/((B14^B14)*(B4^(B14-1)))</t>
  </si>
  <si>
    <t>IF(B3&lt;B10,B12*(B3^B11),B14)</t>
  </si>
  <si>
    <t>((B11-1)^(B11-1))/((B11^B11)*(B4^(B11-1)))</t>
  </si>
  <si>
    <t>IF(B3&lt;B10,B11*B12*(B3^(B11-1)),1)</t>
  </si>
  <si>
    <t>IF(B3-B4&gt;0,MIN(B3-B4,B10-B4),0)</t>
  </si>
  <si>
    <t>B23*(B23-1)*B25*(B3^B22)*(B4^(B23-2))</t>
  </si>
  <si>
    <t>B22*B23*B25*(B3^(B22-1))*(B4^(B23-1))</t>
  </si>
  <si>
    <t>ASSET  V</t>
  </si>
  <si>
    <t>EXERCISE  K</t>
  </si>
  <si>
    <t>EXERCISE K</t>
  </si>
  <si>
    <t>ASSET V</t>
  </si>
  <si>
    <t>EXERCISE D</t>
  </si>
  <si>
    <t>PERPETUAL AMERICAN EXCHANGE CALL OPTION</t>
  </si>
  <si>
    <t>REAL OPTION VALUE CHAPTER 1</t>
  </si>
  <si>
    <t>y INPUT</t>
  </si>
  <si>
    <t>Call Option Investment</t>
  </si>
  <si>
    <t>-NPV</t>
  </si>
  <si>
    <t>IF(B3&lt;B12,((B12-B4)*(B3/B12)^B14),B10)</t>
  </si>
  <si>
    <t xml:space="preserve">                                                       Perpetual American Call Option</t>
  </si>
  <si>
    <t>B22*B25*(B3^(B22-1))*(B4^B23)</t>
  </si>
  <si>
    <t>B23*B25*(B3^B22)*(B4^(B23-1))</t>
  </si>
  <si>
    <t>0.5*(B7^2)*(B3^2)*B31+0.5*(B8^2)*(B4^2)*B32+B9*B7*B8*B3*B4*B33+(B10-B5)*B3*B29+(B10-B6)*B4*B30-B10*B26</t>
  </si>
  <si>
    <t>MAX(-(B3/B5-B4/B6),0)</t>
  </si>
  <si>
    <t>0.5*(B7^2)*(B3^2)*B32+0.5*(B8^2)*(B4^2)*B33+B9*B7*B8*B3*B4*B34+(B10-B5)*B3*B30+(B10-B6)*B4*B31-B10*B27</t>
  </si>
  <si>
    <t>IF(B4&gt;B24,B25*(B3^B22)*(B4^B23),B27)</t>
  </si>
  <si>
    <t>IF(B4&lt;B24,B25*(B3^B22)*(B4^B23),B28)</t>
  </si>
  <si>
    <t>IF(B4&lt;B24,B25*(B3^B22)*(B4^B23)+B3/B5-B11/B10,B27)</t>
  </si>
  <si>
    <t>MAX(0,B4/B6-B12/B10-B13)</t>
  </si>
  <si>
    <r>
      <t>AV</t>
    </r>
    <r>
      <rPr>
        <vertAlign val="superscript"/>
        <sz val="10"/>
        <rFont val="Symbol"/>
        <family val="1"/>
        <charset val="2"/>
      </rPr>
      <t>b1</t>
    </r>
  </si>
  <si>
    <r>
      <rPr>
        <sz val="10"/>
        <rFont val="Symbol"/>
        <family val="1"/>
        <charset val="2"/>
      </rPr>
      <t>b</t>
    </r>
    <r>
      <rPr>
        <sz val="10"/>
        <rFont val="Arial"/>
        <family val="2"/>
      </rPr>
      <t>1*AV</t>
    </r>
    <r>
      <rPr>
        <vertAlign val="superscript"/>
        <sz val="10"/>
        <rFont val="Cambria"/>
        <family val="1"/>
      </rPr>
      <t>(b1-1)</t>
    </r>
  </si>
  <si>
    <t>IF(B3&lt;B12,(B12-B4)*((B3/B12)^B14),B10)</t>
  </si>
  <si>
    <t>#5 Session</t>
  </si>
  <si>
    <t>#6 Session</t>
  </si>
  <si>
    <t>CHAPTER 10</t>
  </si>
  <si>
    <t>SWITCHING OPTIONS</t>
  </si>
  <si>
    <t>DEFAULT OPTIONS</t>
  </si>
  <si>
    <t>CHAPTER 12* Separate Excel spreadsheets on BB</t>
  </si>
  <si>
    <t>PROOF THAT ODE SOLVED</t>
  </si>
  <si>
    <t>STRATEGY a</t>
  </si>
  <si>
    <t>FAIR DEBT REORGANIZATION</t>
  </si>
  <si>
    <t xml:space="preserve">DEBT BASE CASE </t>
  </si>
  <si>
    <t>CHAPTER 5*</t>
  </si>
  <si>
    <t>CHAPTER 12**</t>
  </si>
  <si>
    <t>CHAPTER 5* Available After AR 10K released, 14 Feb</t>
  </si>
  <si>
    <t>Base Case for Equity Strategy</t>
  </si>
  <si>
    <t>B8/B9</t>
  </si>
  <si>
    <t>E</t>
  </si>
  <si>
    <t>B2-B3</t>
  </si>
  <si>
    <t>B2+(B12*B8/B13)*(1-(B19/B2)^-B20)-B11*B19*(B19/B2)^-B20</t>
  </si>
  <si>
    <t xml:space="preserve">D* </t>
  </si>
  <si>
    <t>(B8/B13)+((1-B11)*B19-(B8/B13))*(B19/B2)^-B20</t>
  </si>
  <si>
    <t>B5-B6</t>
  </si>
  <si>
    <t>S # Shares</t>
  </si>
  <si>
    <t>E/#</t>
  </si>
  <si>
    <t>B4/B14</t>
  </si>
  <si>
    <t>E*/#</t>
  </si>
  <si>
    <t>B7/B14</t>
  </si>
  <si>
    <t>MP</t>
  </si>
  <si>
    <t>Market Cap</t>
  </si>
  <si>
    <t>B17*B14</t>
  </si>
  <si>
    <t>(1-B12)*(B8/B13)*(-B20/(-B20+1))</t>
  </si>
  <si>
    <t>MP/NAV</t>
  </si>
  <si>
    <t>B17/B15</t>
  </si>
  <si>
    <t>MP/ROV</t>
  </si>
  <si>
    <t>B17/B16</t>
  </si>
  <si>
    <t>D/V</t>
  </si>
  <si>
    <t>B3/B2</t>
  </si>
  <si>
    <t>D/V*</t>
  </si>
  <si>
    <t>B3/B5</t>
  </si>
  <si>
    <t>D*/V*</t>
  </si>
  <si>
    <t>B6/B5</t>
  </si>
  <si>
    <t>DEFAULT TEMPLATE D&gt;V</t>
  </si>
  <si>
    <t>DEFAULT TEMPLATE D&lt;V</t>
  </si>
  <si>
    <t>EQUITY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</si>
</sst>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"/>
    <numFmt numFmtId="165" formatCode="0.000"/>
    <numFmt numFmtId="166" formatCode="0.0%"/>
    <numFmt numFmtId="167" formatCode="[$$-409]#,##0.00"/>
    <numFmt numFmtId="168" formatCode="&quot;£&quot;#,##0.00"/>
    <numFmt numFmtId="169" formatCode="#,##0.000"/>
    <numFmt numFmtId="170" formatCode="&quot;$&quot;#,##0.00"/>
    <numFmt numFmtId="171" formatCode="[$€-2]\ #,##0"/>
    <numFmt numFmtId="172" formatCode="[$€-2]\ #,##0.0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bscript"/>
      <sz val="10"/>
      <name val="Symbol"/>
      <family val="1"/>
      <charset val="2"/>
    </font>
    <font>
      <sz val="6"/>
      <name val="Arial"/>
      <family val="2"/>
    </font>
    <font>
      <vertAlign val="subscript"/>
      <sz val="10"/>
      <name val="Tahoma"/>
      <family val="2"/>
    </font>
    <font>
      <sz val="8"/>
      <name val="Tahoma"/>
      <family val="2"/>
    </font>
    <font>
      <vertAlign val="superscript"/>
      <sz val="10"/>
      <name val="Symbol"/>
      <family val="1"/>
      <charset val="2"/>
    </font>
    <font>
      <sz val="10"/>
      <name val="Times New Roman"/>
      <family val="1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Tahoma"/>
      <family val="2"/>
    </font>
    <font>
      <sz val="11"/>
      <color indexed="8"/>
      <name val="Symbol"/>
      <family val="1"/>
      <charset val="2"/>
    </font>
    <font>
      <sz val="12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1"/>
      <charset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1"/>
      <charset val="2"/>
    </font>
    <font>
      <sz val="10"/>
      <color indexed="8"/>
      <name val="Symbol"/>
      <family val="1"/>
      <charset val="2"/>
    </font>
    <font>
      <b/>
      <sz val="10"/>
      <color rgb="FF000000"/>
      <name val="Arial"/>
      <family val="2"/>
    </font>
    <font>
      <sz val="11"/>
      <color indexed="8"/>
      <name val="Calibri"/>
      <family val="1"/>
    </font>
    <font>
      <sz val="10"/>
      <name val="Times New Roman"/>
      <family val="1"/>
      <charset val="2"/>
    </font>
    <font>
      <sz val="10"/>
      <color rgb="FF000000"/>
      <name val="Symbol"/>
      <family val="1"/>
      <charset val="2"/>
    </font>
    <font>
      <vertAlign val="subscript"/>
      <sz val="10"/>
      <color rgb="FF000000"/>
      <name val="Symbol"/>
      <family val="1"/>
      <charset val="2"/>
    </font>
    <font>
      <sz val="10"/>
      <name val="Arial"/>
      <family val="1"/>
      <charset val="2"/>
    </font>
    <font>
      <b/>
      <sz val="12"/>
      <color rgb="FFFF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10"/>
      <name val="Cambria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164" fontId="0" fillId="0" borderId="0" xfId="0" applyNumberFormat="1"/>
    <xf numFmtId="0" fontId="6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Border="1"/>
    <xf numFmtId="0" fontId="8" fillId="0" borderId="0" xfId="0" applyFont="1"/>
    <xf numFmtId="0" fontId="0" fillId="0" borderId="0" xfId="0" applyAlignment="1" applyProtection="1">
      <alignment horizontal="left"/>
    </xf>
    <xf numFmtId="2" fontId="0" fillId="0" borderId="0" xfId="0" applyNumberFormat="1" applyBorder="1"/>
    <xf numFmtId="2" fontId="8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 applyProtection="1">
      <alignment horizontal="left"/>
    </xf>
    <xf numFmtId="2" fontId="8" fillId="0" borderId="0" xfId="0" applyNumberFormat="1" applyFont="1"/>
    <xf numFmtId="0" fontId="13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/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4" xfId="0" applyBorder="1"/>
    <xf numFmtId="0" fontId="17" fillId="0" borderId="0" xfId="0" applyFont="1"/>
    <xf numFmtId="0" fontId="18" fillId="0" borderId="0" xfId="0" applyFont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0" fillId="0" borderId="4" xfId="0" applyBorder="1" applyAlignment="1" applyProtection="1">
      <alignment horizontal="left"/>
    </xf>
    <xf numFmtId="4" fontId="0" fillId="0" borderId="0" xfId="0" applyNumberFormat="1" applyBorder="1"/>
    <xf numFmtId="2" fontId="15" fillId="0" borderId="0" xfId="0" applyNumberFormat="1" applyFont="1" applyBorder="1" applyProtection="1">
      <protection locked="0"/>
    </xf>
    <xf numFmtId="0" fontId="19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19" fillId="0" borderId="0" xfId="0" applyFont="1"/>
    <xf numFmtId="0" fontId="0" fillId="0" borderId="0" xfId="0" quotePrefix="1"/>
    <xf numFmtId="3" fontId="0" fillId="0" borderId="0" xfId="0" applyNumberFormat="1"/>
    <xf numFmtId="0" fontId="10" fillId="0" borderId="0" xfId="0" applyFont="1" applyAlignment="1">
      <alignment horizontal="centerContinuous" vertical="justify" wrapText="1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67" fontId="0" fillId="0" borderId="0" xfId="0" applyNumberFormat="1" applyBorder="1"/>
    <xf numFmtId="2" fontId="25" fillId="0" borderId="0" xfId="0" applyNumberFormat="1" applyFont="1" applyBorder="1"/>
    <xf numFmtId="168" fontId="0" fillId="0" borderId="0" xfId="0" applyNumberFormat="1" applyBorder="1"/>
    <xf numFmtId="2" fontId="25" fillId="0" borderId="3" xfId="0" applyNumberFormat="1" applyFont="1" applyBorder="1"/>
    <xf numFmtId="166" fontId="0" fillId="0" borderId="0" xfId="0" applyNumberFormat="1" applyBorder="1"/>
    <xf numFmtId="0" fontId="12" fillId="0" borderId="0" xfId="0" applyFont="1"/>
    <xf numFmtId="0" fontId="12" fillId="0" borderId="0" xfId="0" applyFont="1" applyBorder="1"/>
    <xf numFmtId="0" fontId="0" fillId="0" borderId="0" xfId="0" applyAlignment="1">
      <alignment horizontal="centerContinuous"/>
    </xf>
    <xf numFmtId="2" fontId="12" fillId="0" borderId="0" xfId="0" applyNumberFormat="1" applyFont="1"/>
    <xf numFmtId="2" fontId="4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Border="1"/>
    <xf numFmtId="0" fontId="31" fillId="0" borderId="0" xfId="0" applyFont="1"/>
    <xf numFmtId="2" fontId="0" fillId="0" borderId="0" xfId="0" quotePrefix="1" applyNumberFormat="1"/>
    <xf numFmtId="0" fontId="32" fillId="0" borderId="0" xfId="0" applyFont="1"/>
    <xf numFmtId="4" fontId="9" fillId="0" borderId="0" xfId="0" applyNumberFormat="1" applyFont="1" applyBorder="1" applyProtection="1"/>
    <xf numFmtId="0" fontId="7" fillId="0" borderId="0" xfId="0" applyFont="1" applyAlignment="1">
      <alignment horizontal="centerContinuous" vertical="justify" wrapText="1"/>
    </xf>
    <xf numFmtId="0" fontId="3" fillId="0" borderId="0" xfId="0" applyFont="1" applyAlignment="1" applyProtection="1">
      <alignment horizontal="left"/>
    </xf>
    <xf numFmtId="165" fontId="3" fillId="0" borderId="0" xfId="0" applyNumberFormat="1" applyFont="1"/>
    <xf numFmtId="0" fontId="3" fillId="0" borderId="0" xfId="0" applyFont="1" applyAlignment="1">
      <alignment horizontal="centerContinuous"/>
    </xf>
    <xf numFmtId="2" fontId="33" fillId="0" borderId="0" xfId="0" applyNumberFormat="1" applyFont="1"/>
    <xf numFmtId="0" fontId="31" fillId="0" borderId="0" xfId="1" applyFont="1"/>
    <xf numFmtId="0" fontId="31" fillId="2" borderId="0" xfId="1" applyFont="1" applyFill="1"/>
    <xf numFmtId="3" fontId="31" fillId="0" borderId="0" xfId="0" applyNumberFormat="1" applyFont="1"/>
    <xf numFmtId="165" fontId="31" fillId="0" borderId="0" xfId="1" applyNumberFormat="1" applyFont="1"/>
    <xf numFmtId="169" fontId="31" fillId="0" borderId="0" xfId="1" applyNumberFormat="1" applyFont="1"/>
    <xf numFmtId="169" fontId="31" fillId="2" borderId="0" xfId="1" applyNumberFormat="1" applyFont="1" applyFill="1"/>
    <xf numFmtId="2" fontId="31" fillId="2" borderId="0" xfId="1" applyNumberFormat="1" applyFont="1" applyFill="1"/>
    <xf numFmtId="0" fontId="3" fillId="0" borderId="4" xfId="0" applyFont="1" applyBorder="1"/>
    <xf numFmtId="164" fontId="11" fillId="0" borderId="0" xfId="0" applyNumberFormat="1" applyFont="1"/>
    <xf numFmtId="164" fontId="37" fillId="0" borderId="0" xfId="0" applyNumberFormat="1" applyFont="1"/>
    <xf numFmtId="0" fontId="38" fillId="0" borderId="0" xfId="0" applyFont="1" applyAlignment="1">
      <alignment horizontal="centerContinuous"/>
    </xf>
    <xf numFmtId="0" fontId="34" fillId="0" borderId="0" xfId="0" applyFont="1" applyAlignment="1">
      <alignment horizontal="center"/>
    </xf>
    <xf numFmtId="0" fontId="35" fillId="0" borderId="0" xfId="0" applyFont="1"/>
    <xf numFmtId="2" fontId="0" fillId="0" borderId="0" xfId="0" applyNumberFormat="1" applyFont="1"/>
    <xf numFmtId="2" fontId="39" fillId="0" borderId="0" xfId="0" applyNumberFormat="1" applyFont="1"/>
    <xf numFmtId="2" fontId="34" fillId="0" borderId="0" xfId="0" applyNumberFormat="1" applyFont="1"/>
    <xf numFmtId="10" fontId="38" fillId="0" borderId="0" xfId="0" applyNumberFormat="1" applyFont="1"/>
    <xf numFmtId="0" fontId="29" fillId="0" borderId="0" xfId="0" applyFont="1"/>
    <xf numFmtId="0" fontId="40" fillId="0" borderId="0" xfId="0" applyFont="1"/>
    <xf numFmtId="3" fontId="0" fillId="0" borderId="0" xfId="0" quotePrefix="1" applyNumberFormat="1"/>
    <xf numFmtId="170" fontId="4" fillId="0" borderId="0" xfId="0" applyNumberFormat="1" applyFont="1"/>
    <xf numFmtId="3" fontId="27" fillId="0" borderId="0" xfId="0" quotePrefix="1" applyNumberFormat="1" applyFont="1"/>
    <xf numFmtId="3" fontId="27" fillId="0" borderId="0" xfId="0" applyNumberFormat="1" applyFont="1"/>
    <xf numFmtId="0" fontId="3" fillId="0" borderId="0" xfId="0" applyFont="1" applyBorder="1"/>
    <xf numFmtId="0" fontId="41" fillId="0" borderId="0" xfId="0" applyFont="1"/>
    <xf numFmtId="166" fontId="4" fillId="0" borderId="0" xfId="0" applyNumberFormat="1" applyFont="1"/>
    <xf numFmtId="164" fontId="2" fillId="0" borderId="0" xfId="0" applyNumberFormat="1" applyFont="1"/>
    <xf numFmtId="2" fontId="36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2" fontId="43" fillId="0" borderId="0" xfId="0" applyNumberFormat="1" applyFont="1"/>
    <xf numFmtId="10" fontId="1" fillId="0" borderId="0" xfId="0" applyNumberFormat="1" applyFont="1"/>
    <xf numFmtId="1" fontId="3" fillId="0" borderId="0" xfId="0" applyNumberFormat="1" applyFont="1"/>
    <xf numFmtId="1" fontId="0" fillId="0" borderId="0" xfId="0" applyNumberFormat="1" applyBorder="1"/>
    <xf numFmtId="1" fontId="3" fillId="0" borderId="0" xfId="0" applyNumberFormat="1" applyFont="1" applyBorder="1"/>
    <xf numFmtId="0" fontId="3" fillId="0" borderId="4" xfId="0" applyFont="1" applyBorder="1" applyAlignment="1" applyProtection="1">
      <alignment horizontal="left"/>
    </xf>
    <xf numFmtId="2" fontId="44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/>
    <xf numFmtId="165" fontId="31" fillId="0" borderId="0" xfId="0" applyNumberFormat="1" applyFont="1"/>
    <xf numFmtId="0" fontId="47" fillId="0" borderId="0" xfId="0" applyFont="1"/>
    <xf numFmtId="4" fontId="0" fillId="0" borderId="0" xfId="0" applyNumberFormat="1"/>
    <xf numFmtId="165" fontId="48" fillId="0" borderId="0" xfId="0" applyNumberFormat="1" applyFont="1"/>
    <xf numFmtId="0" fontId="49" fillId="0" borderId="0" xfId="0" applyFont="1"/>
    <xf numFmtId="165" fontId="51" fillId="0" borderId="0" xfId="0" applyNumberFormat="1" applyFont="1"/>
    <xf numFmtId="0" fontId="31" fillId="0" borderId="0" xfId="0" quotePrefix="1" applyFont="1"/>
    <xf numFmtId="0" fontId="53" fillId="0" borderId="0" xfId="0" applyFont="1"/>
    <xf numFmtId="165" fontId="31" fillId="0" borderId="0" xfId="1" quotePrefix="1" applyNumberFormat="1" applyFont="1"/>
    <xf numFmtId="1" fontId="31" fillId="0" borderId="0" xfId="1" quotePrefix="1" applyNumberFormat="1" applyFont="1"/>
    <xf numFmtId="164" fontId="48" fillId="0" borderId="0" xfId="0" applyNumberFormat="1" applyFont="1"/>
    <xf numFmtId="2" fontId="3" fillId="0" borderId="0" xfId="0" applyNumberFormat="1" applyFont="1" applyBorder="1" applyProtection="1">
      <protection locked="0"/>
    </xf>
    <xf numFmtId="0" fontId="0" fillId="0" borderId="0" xfId="0" applyFont="1" applyFill="1" applyBorder="1"/>
    <xf numFmtId="0" fontId="3" fillId="0" borderId="0" xfId="0" applyFont="1" applyFill="1" applyBorder="1"/>
    <xf numFmtId="1" fontId="0" fillId="0" borderId="0" xfId="0" applyNumberFormat="1"/>
    <xf numFmtId="164" fontId="8" fillId="0" borderId="0" xfId="0" applyNumberFormat="1" applyFont="1"/>
    <xf numFmtId="0" fontId="56" fillId="0" borderId="0" xfId="0" applyFont="1" applyFill="1" applyBorder="1"/>
    <xf numFmtId="0" fontId="57" fillId="0" borderId="1" xfId="0" applyFont="1" applyBorder="1" applyAlignment="1">
      <alignment horizontal="centerContinuous"/>
    </xf>
    <xf numFmtId="0" fontId="57" fillId="0" borderId="2" xfId="0" applyFont="1" applyBorder="1" applyAlignment="1">
      <alignment horizontal="centerContinuous"/>
    </xf>
    <xf numFmtId="0" fontId="57" fillId="0" borderId="5" xfId="0" applyFont="1" applyBorder="1" applyAlignment="1">
      <alignment horizontal="centerContinuous"/>
    </xf>
    <xf numFmtId="0" fontId="33" fillId="0" borderId="4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1" fontId="48" fillId="0" borderId="0" xfId="0" applyNumberFormat="1" applyFont="1"/>
    <xf numFmtId="1" fontId="51" fillId="0" borderId="0" xfId="0" applyNumberFormat="1" applyFont="1"/>
    <xf numFmtId="1" fontId="4" fillId="0" borderId="0" xfId="0" applyNumberFormat="1" applyFont="1" applyBorder="1"/>
    <xf numFmtId="1" fontId="4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165" fontId="3" fillId="0" borderId="0" xfId="0" applyNumberFormat="1" applyFont="1" applyBorder="1"/>
    <xf numFmtId="171" fontId="0" fillId="0" borderId="0" xfId="0" applyNumberFormat="1" applyBorder="1"/>
    <xf numFmtId="172" fontId="0" fillId="0" borderId="0" xfId="0" applyNumberFormat="1" applyBorder="1"/>
    <xf numFmtId="172" fontId="3" fillId="0" borderId="0" xfId="0" applyNumberFormat="1" applyFont="1" applyBorder="1"/>
    <xf numFmtId="4" fontId="17" fillId="0" borderId="0" xfId="0" applyNumberFormat="1" applyFont="1" applyBorder="1"/>
    <xf numFmtId="167" fontId="17" fillId="0" borderId="0" xfId="0" applyNumberFormat="1" applyFont="1" applyBorder="1"/>
    <xf numFmtId="2" fontId="17" fillId="0" borderId="0" xfId="0" applyNumberFormat="1" applyFont="1" applyBorder="1"/>
    <xf numFmtId="0" fontId="61" fillId="0" borderId="0" xfId="0" applyFont="1" applyAlignment="1">
      <alignment horizontal="centerContinuous"/>
    </xf>
    <xf numFmtId="10" fontId="0" fillId="0" borderId="0" xfId="0" applyNumberForma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890044576523402"/>
          <c:y val="3.6423841059602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51914491951333E-2"/>
          <c:y val="0.21192052980132606"/>
          <c:w val="0.57503756430915409"/>
          <c:h val="0.52980132450331163"/>
        </c:manualLayout>
      </c:layout>
      <c:lineChart>
        <c:grouping val="standard"/>
        <c:varyColors val="0"/>
        <c:ser>
          <c:idx val="0"/>
          <c:order val="0"/>
          <c:tx>
            <c:strRef>
              <c:f>'INTRINSIC CALL'!$A$5</c:f>
              <c:strCache>
                <c:ptCount val="1"/>
                <c:pt idx="0">
                  <c:v>CALL INTRINSIC VALUE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'INTRINSIC CALL'!$B$3:$N$3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'INTRINSIC CALL'!$B$5:$N$5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F-4F62-BA17-F81A0FD2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9184"/>
        <c:axId val="146111872"/>
      </c:lineChart>
      <c:catAx>
        <c:axId val="14610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ASSET VALUE</a:t>
                </a:r>
              </a:p>
            </c:rich>
          </c:tx>
          <c:layout>
            <c:manualLayout>
              <c:xMode val="edge"/>
              <c:yMode val="edge"/>
              <c:x val="0.28826167160011384"/>
              <c:y val="0.857615894039742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11187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09184"/>
        <c:crosses val="autoZero"/>
        <c:crossBetween val="midCat"/>
        <c:maj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093657497864758"/>
          <c:y val="0.43708609271523552"/>
          <c:w val="0.29717697620635858"/>
          <c:h val="7.9470198675496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"Perfect"</a:t>
            </a:r>
            <a:r>
              <a:rPr lang="en-US" baseline="0"/>
              <a:t> Hedging with Commodity Futures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HEDGING1!$A$3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HEDGING1!$B$2:$N$2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HEDGING1!$B$3:$N$3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E-437D-BCB6-342412D71AF4}"/>
            </c:ext>
          </c:extLst>
        </c:ser>
        <c:ser>
          <c:idx val="1"/>
          <c:order val="1"/>
          <c:tx>
            <c:strRef>
              <c:f>HEDGING1!$A$4</c:f>
              <c:strCache>
                <c:ptCount val="1"/>
                <c:pt idx="0">
                  <c:v>SHORT FUTURES POSITION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HEDGING1!$B$2:$N$2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HEDGING1!$B$4:$N$4</c:f>
              <c:numCache>
                <c:formatCode>General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E-437D-BCB6-342412D71AF4}"/>
            </c:ext>
          </c:extLst>
        </c:ser>
        <c:ser>
          <c:idx val="2"/>
          <c:order val="2"/>
          <c:tx>
            <c:strRef>
              <c:f>HEDGING1!$A$5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HEDGING1!$B$2:$N$2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HEDGING1!$B$5:$N$5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E-437D-BCB6-342412D71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524928"/>
        <c:axId val="590525256"/>
      </c:lineChart>
      <c:catAx>
        <c:axId val="59052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25256"/>
        <c:crosses val="autoZero"/>
        <c:auto val="1"/>
        <c:lblAlgn val="ctr"/>
        <c:lblOffset val="100"/>
        <c:noMultiLvlLbl val="0"/>
      </c:catAx>
      <c:valAx>
        <c:axId val="59052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Gain/Loss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2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STRATEGY</a:t>
            </a:r>
            <a:r>
              <a:rPr lang="en-US" baseline="0"/>
              <a:t> 1: SELLING A CALL OPTION ON AN OWNED NET ASSET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STRATEGY1!$A$3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STRATEGY1!$B$2:$N$2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STRATEGY1!$B$3:$N$3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C-4CAE-B056-C073BB15F8F9}"/>
            </c:ext>
          </c:extLst>
        </c:ser>
        <c:ser>
          <c:idx val="1"/>
          <c:order val="1"/>
          <c:tx>
            <c:strRef>
              <c:f>STRATEGY1!$A$4</c:f>
              <c:strCache>
                <c:ptCount val="1"/>
                <c:pt idx="0">
                  <c:v>WRITE REAL CALL INTRINSIC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STRATEGY1!$B$2:$N$2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STRATEGY1!$B$4:$N$4</c:f>
              <c:numCache>
                <c:formatCode>#,##0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-25</c:v>
                </c:pt>
                <c:pt idx="9">
                  <c:v>-50</c:v>
                </c:pt>
                <c:pt idx="10">
                  <c:v>-75</c:v>
                </c:pt>
                <c:pt idx="11">
                  <c:v>-100</c:v>
                </c:pt>
                <c:pt idx="12">
                  <c:v>-125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C-4CAE-B056-C073BB15F8F9}"/>
            </c:ext>
          </c:extLst>
        </c:ser>
        <c:ser>
          <c:idx val="2"/>
          <c:order val="2"/>
          <c:tx>
            <c:strRef>
              <c:f>STRATEGY1!$A$5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STRATEGY1!$B$2:$N$2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STRATEGY1!$B$5:$N$5</c:f>
              <c:numCache>
                <c:formatCode>#,##0</c:formatCode>
                <c:ptCount val="13"/>
                <c:pt idx="0">
                  <c:v>-125</c:v>
                </c:pt>
                <c:pt idx="1">
                  <c:v>-100</c:v>
                </c:pt>
                <c:pt idx="2">
                  <c:v>-75</c:v>
                </c:pt>
                <c:pt idx="3">
                  <c:v>-50</c:v>
                </c:pt>
                <c:pt idx="4">
                  <c:v>-25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CC-4CAE-B056-C073BB15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79904"/>
        <c:axId val="595476952"/>
      </c:lineChart>
      <c:catAx>
        <c:axId val="59547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76952"/>
        <c:crosses val="autoZero"/>
        <c:auto val="1"/>
        <c:lblAlgn val="ctr"/>
        <c:lblOffset val="100"/>
        <c:noMultiLvlLbl val="0"/>
      </c:catAx>
      <c:valAx>
        <c:axId val="59547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GAIN/LOSS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2: BUYING PROTECTIVE CALL TO COVER REQUIREMENT TO USE</a:t>
            </a:r>
            <a:r>
              <a:rPr lang="en-US" baseline="0"/>
              <a:t> NET ASSET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STRATEGY2!$A$3</c:f>
              <c:strCache>
                <c:ptCount val="1"/>
                <c:pt idx="0">
                  <c:v>REQUIRE USE OF NET ASSET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STRATEGY2!$B$3:$N$3</c:f>
              <c:numCache>
                <c:formatCode>#,##0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1E1-814D-E4699261F911}"/>
            </c:ext>
          </c:extLst>
        </c:ser>
        <c:ser>
          <c:idx val="1"/>
          <c:order val="1"/>
          <c:tx>
            <c:strRef>
              <c:f>STRATEGY2!$A$4</c:f>
              <c:strCache>
                <c:ptCount val="1"/>
                <c:pt idx="0">
                  <c:v>BUY REAL CALL INTRINSIC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STRATEGY2!$B$4:$N$4</c:f>
              <c:numCache>
                <c:formatCode>#,##0</c:formatCod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15</c:v>
                </c:pt>
                <c:pt idx="8">
                  <c:v>40</c:v>
                </c:pt>
                <c:pt idx="9">
                  <c:v>65</c:v>
                </c:pt>
                <c:pt idx="10">
                  <c:v>90</c:v>
                </c:pt>
                <c:pt idx="11">
                  <c:v>115</c:v>
                </c:pt>
                <c:pt idx="12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1E1-814D-E4699261F911}"/>
            </c:ext>
          </c:extLst>
        </c:ser>
        <c:ser>
          <c:idx val="2"/>
          <c:order val="2"/>
          <c:tx>
            <c:strRef>
              <c:f>STRATEGY2!$A$5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STRATEGY2!$B$5:$N$5</c:f>
              <c:numCache>
                <c:formatCode>#,##0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85-41E1-814D-E4699261F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18880"/>
        <c:axId val="149025152"/>
      </c:lineChart>
      <c:catAx>
        <c:axId val="1490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49025152"/>
        <c:crosses val="autoZero"/>
        <c:auto val="1"/>
        <c:lblAlgn val="ctr"/>
        <c:lblOffset val="100"/>
        <c:noMultiLvlLbl val="0"/>
      </c:catAx>
      <c:valAx>
        <c:axId val="149025152"/>
        <c:scaling>
          <c:orientation val="minMax"/>
          <c:max val="150"/>
          <c:min val="-15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9018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</a:t>
            </a:r>
            <a:r>
              <a:rPr lang="en-US" baseline="0"/>
              <a:t> 3: BUYING PROTECTIVE PUT TO COVER OWNED NET ASSET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STRATEGY3!$A$2</c:f>
              <c:strCache>
                <c:ptCount val="1"/>
                <c:pt idx="0">
                  <c:v>OWN ASSET-DEBT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7-4AC7-9830-160EA75AA2B3}"/>
            </c:ext>
          </c:extLst>
        </c:ser>
        <c:ser>
          <c:idx val="1"/>
          <c:order val="1"/>
          <c:tx>
            <c:strRef>
              <c:f>STRATEGY3!$A$3</c:f>
              <c:strCache>
                <c:ptCount val="1"/>
                <c:pt idx="0">
                  <c:v>BUY REAL PUT INTRINSIC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STRATEGY3!$B$3:$N$3</c:f>
              <c:numCache>
                <c:formatCode>General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7-4AC7-9830-160EA75AA2B3}"/>
            </c:ext>
          </c:extLst>
        </c:ser>
        <c:ser>
          <c:idx val="2"/>
          <c:order val="2"/>
          <c:tx>
            <c:strRef>
              <c:f>STRATEGY3!$A$4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STRATEGY3!$B$4:$N$4</c:f>
              <c:numCache>
                <c:formatCode>General</c:formatCod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15</c:v>
                </c:pt>
                <c:pt idx="8">
                  <c:v>40</c:v>
                </c:pt>
                <c:pt idx="9">
                  <c:v>65</c:v>
                </c:pt>
                <c:pt idx="10">
                  <c:v>90</c:v>
                </c:pt>
                <c:pt idx="11">
                  <c:v>115</c:v>
                </c:pt>
                <c:pt idx="12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87-4AC7-9830-160EA75AA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05216"/>
        <c:axId val="149323776"/>
      </c:lineChart>
      <c:catAx>
        <c:axId val="14930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323776"/>
        <c:crosses val="autoZero"/>
        <c:auto val="1"/>
        <c:lblAlgn val="ctr"/>
        <c:lblOffset val="100"/>
        <c:noMultiLvlLbl val="0"/>
      </c:catAx>
      <c:valAx>
        <c:axId val="149323776"/>
        <c:scaling>
          <c:orientation val="minMax"/>
          <c:max val="150"/>
          <c:min val="-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305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STRATEGY 4: REQUIRE USE OF A NET ASSET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STRATEGY4!$A$3</c:f>
              <c:strCache>
                <c:ptCount val="1"/>
                <c:pt idx="0">
                  <c:v>REQUIRE USE OF NET ASSET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STRATEGY4!$B$3:$N$3</c:f>
              <c:numCache>
                <c:formatCode>General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1-4CC7-8D3C-7C38458CC272}"/>
            </c:ext>
          </c:extLst>
        </c:ser>
        <c:ser>
          <c:idx val="1"/>
          <c:order val="1"/>
          <c:tx>
            <c:strRef>
              <c:f>STRATEGY4!$A$4</c:f>
              <c:strCache>
                <c:ptCount val="1"/>
                <c:pt idx="0">
                  <c:v>WRITE REAL PUT INTRINSIC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STRATEGY4!$B$4:$N$4</c:f>
              <c:numCache>
                <c:formatCode>General</c:formatCode>
                <c:ptCount val="13"/>
                <c:pt idx="0">
                  <c:v>-125</c:v>
                </c:pt>
                <c:pt idx="1">
                  <c:v>-100</c:v>
                </c:pt>
                <c:pt idx="2">
                  <c:v>-75</c:v>
                </c:pt>
                <c:pt idx="3">
                  <c:v>-50</c:v>
                </c:pt>
                <c:pt idx="4">
                  <c:v>-25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1-4CC7-8D3C-7C38458CC272}"/>
            </c:ext>
          </c:extLst>
        </c:ser>
        <c:ser>
          <c:idx val="2"/>
          <c:order val="2"/>
          <c:tx>
            <c:strRef>
              <c:f>STRATEGY4!$A$5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STRATEGY4!$B$5:$N$5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-25</c:v>
                </c:pt>
                <c:pt idx="9">
                  <c:v>-50</c:v>
                </c:pt>
                <c:pt idx="10">
                  <c:v>-75</c:v>
                </c:pt>
                <c:pt idx="11">
                  <c:v>-100</c:v>
                </c:pt>
                <c:pt idx="12">
                  <c:v>-125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61-4CC7-8D3C-7C38458C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56912"/>
        <c:axId val="381057240"/>
      </c:lineChart>
      <c:catAx>
        <c:axId val="38105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57240"/>
        <c:crosses val="autoZero"/>
        <c:auto val="1"/>
        <c:lblAlgn val="ctr"/>
        <c:lblOffset val="100"/>
        <c:noMultiLvlLbl val="0"/>
      </c:catAx>
      <c:valAx>
        <c:axId val="38105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5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STRATEGY</a:t>
            </a:r>
            <a:r>
              <a:rPr lang="en-US" baseline="0"/>
              <a:t> 5: BUYING REAL "COLLAR" TO PROTECT EXPOSED NET ASSETS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STRATEGY5!$A$2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1-403F-9F95-AD959EB30F39}"/>
            </c:ext>
          </c:extLst>
        </c:ser>
        <c:ser>
          <c:idx val="1"/>
          <c:order val="1"/>
          <c:tx>
            <c:strRef>
              <c:f>STRATEGY5!$A$3</c:f>
              <c:strCache>
                <c:ptCount val="1"/>
                <c:pt idx="0">
                  <c:v>WRITE REAL CALL AT K2 INTRINSIC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STRATEGY5!$B$3:$N$3</c:f>
              <c:numCache>
                <c:formatCode>#,##0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-25</c:v>
                </c:pt>
                <c:pt idx="10">
                  <c:v>-50</c:v>
                </c:pt>
                <c:pt idx="11">
                  <c:v>-75</c:v>
                </c:pt>
                <c:pt idx="12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1-403F-9F95-AD959EB30F39}"/>
            </c:ext>
          </c:extLst>
        </c:ser>
        <c:ser>
          <c:idx val="2"/>
          <c:order val="2"/>
          <c:tx>
            <c:strRef>
              <c:f>STRATEGY5!$A$4</c:f>
              <c:strCache>
                <c:ptCount val="1"/>
                <c:pt idx="0">
                  <c:v>BUY REAL PUT AT K1 INTRINSIC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STRATEGY5!$B$4:$N$4</c:f>
              <c:numCache>
                <c:formatCode>#,##0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81-403F-9F95-AD959EB30F39}"/>
            </c:ext>
          </c:extLst>
        </c:ser>
        <c:ser>
          <c:idx val="3"/>
          <c:order val="3"/>
          <c:tx>
            <c:strRef>
              <c:f>STRATEGY5!$A$5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STRATEGY5!$B$5:$N$5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81-403F-9F95-AD959EB3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44152"/>
        <c:axId val="595450384"/>
      </c:lineChart>
      <c:catAx>
        <c:axId val="59544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ASSET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50384"/>
        <c:crossesAt val="0"/>
        <c:auto val="1"/>
        <c:lblAlgn val="ctr"/>
        <c:lblOffset val="100"/>
        <c:noMultiLvlLbl val="0"/>
      </c:catAx>
      <c:valAx>
        <c:axId val="595450384"/>
        <c:scaling>
          <c:orientation val="minMax"/>
          <c:max val="1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4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OWN</a:t>
            </a:r>
            <a:r>
              <a:rPr lang="en-US" baseline="0"/>
              <a:t> PROPERTY WITH RENOVATION OPTION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RENOVATION!$A$2</c:f>
              <c:strCache>
                <c:ptCount val="1"/>
                <c:pt idx="0">
                  <c:v>NET ASSET VALUE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7-4DC8-8D31-AE349391D672}"/>
            </c:ext>
          </c:extLst>
        </c:ser>
        <c:ser>
          <c:idx val="1"/>
          <c:order val="1"/>
          <c:tx>
            <c:strRef>
              <c:f>RENOVATION!$A$3</c:f>
              <c:strCache>
                <c:ptCount val="1"/>
                <c:pt idx="0">
                  <c:v>HOLD REAL CALL INTRINSIC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RENOVATION!$B$3:$N$3</c:f>
              <c:numCache>
                <c:formatCode>General</c:formatCode>
                <c:ptCount val="13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10</c:v>
                </c:pt>
                <c:pt idx="8">
                  <c:v>35</c:v>
                </c:pt>
                <c:pt idx="9">
                  <c:v>60</c:v>
                </c:pt>
                <c:pt idx="10">
                  <c:v>85</c:v>
                </c:pt>
                <c:pt idx="11">
                  <c:v>110</c:v>
                </c:pt>
                <c:pt idx="12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7-4DC8-8D31-AE349391D672}"/>
            </c:ext>
          </c:extLst>
        </c:ser>
        <c:ser>
          <c:idx val="2"/>
          <c:order val="2"/>
          <c:tx>
            <c:strRef>
              <c:f>RENOVATION!$A$4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RENOVATION!$B$4:$N$4</c:f>
              <c:numCache>
                <c:formatCode>General</c:formatCode>
                <c:ptCount val="13"/>
                <c:pt idx="0">
                  <c:v>-165</c:v>
                </c:pt>
                <c:pt idx="1">
                  <c:v>-140</c:v>
                </c:pt>
                <c:pt idx="2">
                  <c:v>-115</c:v>
                </c:pt>
                <c:pt idx="3">
                  <c:v>-90</c:v>
                </c:pt>
                <c:pt idx="4">
                  <c:v>-65</c:v>
                </c:pt>
                <c:pt idx="5">
                  <c:v>-40</c:v>
                </c:pt>
                <c:pt idx="6">
                  <c:v>-15</c:v>
                </c:pt>
                <c:pt idx="7">
                  <c:v>35</c:v>
                </c:pt>
                <c:pt idx="8">
                  <c:v>85</c:v>
                </c:pt>
                <c:pt idx="9">
                  <c:v>135</c:v>
                </c:pt>
                <c:pt idx="10">
                  <c:v>185</c:v>
                </c:pt>
                <c:pt idx="11">
                  <c:v>235</c:v>
                </c:pt>
                <c:pt idx="12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F7-4DC8-8D31-AE349391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42016"/>
        <c:axId val="149543936"/>
      </c:lineChart>
      <c:catAx>
        <c:axId val="14954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543936"/>
        <c:crosses val="autoZero"/>
        <c:auto val="1"/>
        <c:lblAlgn val="ctr"/>
        <c:lblOffset val="100"/>
        <c:noMultiLvlLbl val="0"/>
      </c:catAx>
      <c:valAx>
        <c:axId val="149543936"/>
        <c:scaling>
          <c:orientation val="minMax"/>
          <c:max val="300"/>
          <c:min val="-1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542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OWN</a:t>
            </a:r>
            <a:r>
              <a:rPr lang="en-US" baseline="0"/>
              <a:t> PROPERTY WITH RENOVATION REQUIREMENT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RENOVATION_REQD!$A$2</c:f>
              <c:strCache>
                <c:ptCount val="1"/>
                <c:pt idx="0">
                  <c:v>OWN LEVERAGED PROPERTY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C-4390-A724-7D3D9C1B6DCB}"/>
            </c:ext>
          </c:extLst>
        </c:ser>
        <c:ser>
          <c:idx val="1"/>
          <c:order val="1"/>
          <c:tx>
            <c:strRef>
              <c:f>RENOVATION_REQD!$A$3</c:f>
              <c:strCache>
                <c:ptCount val="1"/>
                <c:pt idx="0">
                  <c:v>RENOVATION REQUIREMENT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RENOVATION_REQD!$B$3:$N$3</c:f>
              <c:numCache>
                <c:formatCode>General</c:formatCode>
                <c:ptCount val="13"/>
                <c:pt idx="0">
                  <c:v>-135</c:v>
                </c:pt>
                <c:pt idx="1">
                  <c:v>-110</c:v>
                </c:pt>
                <c:pt idx="2">
                  <c:v>-85</c:v>
                </c:pt>
                <c:pt idx="3">
                  <c:v>-60</c:v>
                </c:pt>
                <c:pt idx="4">
                  <c:v>-35</c:v>
                </c:pt>
                <c:pt idx="5">
                  <c:v>-10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C-4390-A724-7D3D9C1B6DCB}"/>
            </c:ext>
          </c:extLst>
        </c:ser>
        <c:ser>
          <c:idx val="2"/>
          <c:order val="2"/>
          <c:tx>
            <c:strRef>
              <c:f>RENOVATION_REQD!$A$4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RENOVATION_REQD!$B$4:$N$4</c:f>
              <c:numCache>
                <c:formatCode>General</c:formatCode>
                <c:ptCount val="13"/>
                <c:pt idx="0">
                  <c:v>-285</c:v>
                </c:pt>
                <c:pt idx="1">
                  <c:v>-235</c:v>
                </c:pt>
                <c:pt idx="2">
                  <c:v>-185</c:v>
                </c:pt>
                <c:pt idx="3">
                  <c:v>-135</c:v>
                </c:pt>
                <c:pt idx="4">
                  <c:v>-85</c:v>
                </c:pt>
                <c:pt idx="5">
                  <c:v>-35</c:v>
                </c:pt>
                <c:pt idx="6">
                  <c:v>15</c:v>
                </c:pt>
                <c:pt idx="7">
                  <c:v>40</c:v>
                </c:pt>
                <c:pt idx="8">
                  <c:v>65</c:v>
                </c:pt>
                <c:pt idx="9">
                  <c:v>90</c:v>
                </c:pt>
                <c:pt idx="10">
                  <c:v>115</c:v>
                </c:pt>
                <c:pt idx="11">
                  <c:v>140</c:v>
                </c:pt>
                <c:pt idx="12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C-4390-A724-7D3D9C1B6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48704"/>
        <c:axId val="148650624"/>
      </c:lineChart>
      <c:catAx>
        <c:axId val="14864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650624"/>
        <c:crosses val="autoZero"/>
        <c:auto val="1"/>
        <c:lblAlgn val="ctr"/>
        <c:lblOffset val="100"/>
        <c:noMultiLvlLbl val="0"/>
      </c:catAx>
      <c:valAx>
        <c:axId val="148650624"/>
        <c:scaling>
          <c:orientation val="minMax"/>
          <c:max val="175"/>
          <c:min val="-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648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MANCITY &amp; COUNCIL SHARING ARRANGEMENT</a:t>
            </a:r>
          </a:p>
        </c:rich>
      </c:tx>
      <c:layout>
        <c:manualLayout>
          <c:xMode val="edge"/>
          <c:yMode val="edge"/>
          <c:x val="0.23316062176165767"/>
          <c:y val="3.3591731266149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20930285373984006"/>
          <c:w val="0.72849740932642482"/>
          <c:h val="0.64341247631136023"/>
        </c:manualLayout>
      </c:layout>
      <c:lineChart>
        <c:grouping val="standard"/>
        <c:varyColors val="0"/>
        <c:ser>
          <c:idx val="0"/>
          <c:order val="0"/>
          <c:tx>
            <c:strRef>
              <c:f>[3]CITY_SHARING!$A$11</c:f>
              <c:strCache>
                <c:ptCount val="1"/>
                <c:pt idx="0">
                  <c:v>MAN CITY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[3]CITY_SHARING!$B$11:$Z$11</c:f>
              <c:numCache>
                <c:formatCode>General</c:formatCode>
                <c:ptCount val="25"/>
                <c:pt idx="0">
                  <c:v>-68000</c:v>
                </c:pt>
                <c:pt idx="1">
                  <c:v>-28000</c:v>
                </c:pt>
                <c:pt idx="2">
                  <c:v>12000</c:v>
                </c:pt>
                <c:pt idx="3">
                  <c:v>52000</c:v>
                </c:pt>
                <c:pt idx="4">
                  <c:v>92000</c:v>
                </c:pt>
                <c:pt idx="5">
                  <c:v>132000</c:v>
                </c:pt>
                <c:pt idx="6">
                  <c:v>172000</c:v>
                </c:pt>
                <c:pt idx="7">
                  <c:v>212000</c:v>
                </c:pt>
                <c:pt idx="8">
                  <c:v>252000</c:v>
                </c:pt>
                <c:pt idx="9">
                  <c:v>292000</c:v>
                </c:pt>
                <c:pt idx="10">
                  <c:v>332000</c:v>
                </c:pt>
                <c:pt idx="11">
                  <c:v>372000</c:v>
                </c:pt>
                <c:pt idx="12">
                  <c:v>412000</c:v>
                </c:pt>
                <c:pt idx="13">
                  <c:v>452000</c:v>
                </c:pt>
                <c:pt idx="14">
                  <c:v>492000</c:v>
                </c:pt>
                <c:pt idx="15">
                  <c:v>532000</c:v>
                </c:pt>
                <c:pt idx="16">
                  <c:v>572000</c:v>
                </c:pt>
                <c:pt idx="17">
                  <c:v>612000</c:v>
                </c:pt>
                <c:pt idx="18">
                  <c:v>652000</c:v>
                </c:pt>
                <c:pt idx="19">
                  <c:v>692000</c:v>
                </c:pt>
                <c:pt idx="20">
                  <c:v>732000</c:v>
                </c:pt>
                <c:pt idx="21">
                  <c:v>772000</c:v>
                </c:pt>
                <c:pt idx="22">
                  <c:v>812000</c:v>
                </c:pt>
                <c:pt idx="23">
                  <c:v>852000</c:v>
                </c:pt>
                <c:pt idx="24">
                  <c:v>892000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D-4635-97E4-74083DA131F3}"/>
            </c:ext>
          </c:extLst>
        </c:ser>
        <c:ser>
          <c:idx val="1"/>
          <c:order val="1"/>
          <c:tx>
            <c:strRef>
              <c:f>[3]CITY_SHARING!$A$12</c:f>
              <c:strCache>
                <c:ptCount val="1"/>
                <c:pt idx="0">
                  <c:v>COUNCIL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[3]CITY_SHARING!$B$9:$Z$9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[3]CITY_SHARING!$B$12:$Z$12</c:f>
              <c:numCache>
                <c:formatCode>General</c:formatCode>
                <c:ptCount val="25"/>
                <c:pt idx="0">
                  <c:v>68000</c:v>
                </c:pt>
                <c:pt idx="1">
                  <c:v>68000</c:v>
                </c:pt>
                <c:pt idx="2">
                  <c:v>68000</c:v>
                </c:pt>
                <c:pt idx="3">
                  <c:v>68000</c:v>
                </c:pt>
                <c:pt idx="4">
                  <c:v>68000</c:v>
                </c:pt>
                <c:pt idx="5">
                  <c:v>68000</c:v>
                </c:pt>
                <c:pt idx="6">
                  <c:v>68000</c:v>
                </c:pt>
                <c:pt idx="7">
                  <c:v>68000</c:v>
                </c:pt>
                <c:pt idx="8">
                  <c:v>68000</c:v>
                </c:pt>
                <c:pt idx="9">
                  <c:v>68000</c:v>
                </c:pt>
                <c:pt idx="10">
                  <c:v>68000</c:v>
                </c:pt>
                <c:pt idx="11">
                  <c:v>68000</c:v>
                </c:pt>
                <c:pt idx="12">
                  <c:v>68000</c:v>
                </c:pt>
                <c:pt idx="13">
                  <c:v>68000</c:v>
                </c:pt>
                <c:pt idx="14">
                  <c:v>68000</c:v>
                </c:pt>
                <c:pt idx="15">
                  <c:v>68000</c:v>
                </c:pt>
                <c:pt idx="16">
                  <c:v>68000</c:v>
                </c:pt>
                <c:pt idx="17">
                  <c:v>68000</c:v>
                </c:pt>
                <c:pt idx="18">
                  <c:v>68000</c:v>
                </c:pt>
                <c:pt idx="19">
                  <c:v>68000</c:v>
                </c:pt>
                <c:pt idx="20">
                  <c:v>68000</c:v>
                </c:pt>
                <c:pt idx="21">
                  <c:v>68000</c:v>
                </c:pt>
                <c:pt idx="22">
                  <c:v>68000</c:v>
                </c:pt>
                <c:pt idx="23">
                  <c:v>68000</c:v>
                </c:pt>
                <c:pt idx="24">
                  <c:v>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D-4635-97E4-74083DA131F3}"/>
            </c:ext>
          </c:extLst>
        </c:ser>
        <c:ser>
          <c:idx val="2"/>
          <c:order val="2"/>
          <c:tx>
            <c:strRef>
              <c:f>[3]CITY_SHARING!$A$13</c:f>
              <c:strCache>
                <c:ptCount val="1"/>
                <c:pt idx="0">
                  <c:v>MAN CITY(-)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[3]CITY_SHARING!$B$9:$Z$9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[3]CITY_SHARING!$B$13:$Z$13</c:f>
              <c:numCache>
                <c:formatCode>General</c:formatCode>
                <c:ptCount val="25"/>
                <c:pt idx="0">
                  <c:v>0</c:v>
                </c:pt>
                <c:pt idx="1">
                  <c:v>40000</c:v>
                </c:pt>
                <c:pt idx="2">
                  <c:v>80000</c:v>
                </c:pt>
                <c:pt idx="3">
                  <c:v>120000</c:v>
                </c:pt>
                <c:pt idx="4">
                  <c:v>160000</c:v>
                </c:pt>
                <c:pt idx="5">
                  <c:v>200000</c:v>
                </c:pt>
                <c:pt idx="6">
                  <c:v>240000</c:v>
                </c:pt>
                <c:pt idx="7">
                  <c:v>280000</c:v>
                </c:pt>
                <c:pt idx="8">
                  <c:v>320000</c:v>
                </c:pt>
                <c:pt idx="9">
                  <c:v>360000</c:v>
                </c:pt>
                <c:pt idx="10">
                  <c:v>400000</c:v>
                </c:pt>
                <c:pt idx="11">
                  <c:v>440000</c:v>
                </c:pt>
                <c:pt idx="12">
                  <c:v>480000</c:v>
                </c:pt>
                <c:pt idx="13">
                  <c:v>520000</c:v>
                </c:pt>
                <c:pt idx="14">
                  <c:v>560000</c:v>
                </c:pt>
                <c:pt idx="15">
                  <c:v>600000</c:v>
                </c:pt>
                <c:pt idx="16">
                  <c:v>640000</c:v>
                </c:pt>
                <c:pt idx="17">
                  <c:v>408000</c:v>
                </c:pt>
                <c:pt idx="18">
                  <c:v>432000</c:v>
                </c:pt>
                <c:pt idx="19">
                  <c:v>456000</c:v>
                </c:pt>
                <c:pt idx="20">
                  <c:v>480000</c:v>
                </c:pt>
                <c:pt idx="21">
                  <c:v>504000</c:v>
                </c:pt>
                <c:pt idx="22">
                  <c:v>528000</c:v>
                </c:pt>
                <c:pt idx="23">
                  <c:v>552000</c:v>
                </c:pt>
                <c:pt idx="24">
                  <c:v>576000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2D-4635-97E4-74083DA131F3}"/>
            </c:ext>
          </c:extLst>
        </c:ser>
        <c:ser>
          <c:idx val="3"/>
          <c:order val="3"/>
          <c:tx>
            <c:strRef>
              <c:f>[3]CITY_SHARING!$A$14</c:f>
              <c:strCache>
                <c:ptCount val="1"/>
                <c:pt idx="0">
                  <c:v>COUNCIL(+)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[3]CITY_SHARING!$B$9:$Z$9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[3]CITY_SHARING!$B$14:$Z$14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272000</c:v>
                </c:pt>
                <c:pt idx="18">
                  <c:v>288000</c:v>
                </c:pt>
                <c:pt idx="19">
                  <c:v>304000</c:v>
                </c:pt>
                <c:pt idx="20">
                  <c:v>320000</c:v>
                </c:pt>
                <c:pt idx="21">
                  <c:v>336000</c:v>
                </c:pt>
                <c:pt idx="22">
                  <c:v>352000</c:v>
                </c:pt>
                <c:pt idx="23">
                  <c:v>368000</c:v>
                </c:pt>
                <c:pt idx="24">
                  <c:v>384000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2D-4635-97E4-74083DA1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44288"/>
        <c:axId val="154063232"/>
      </c:lineChart>
      <c:catAx>
        <c:axId val="15404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ATTENDANCE</a:t>
                </a:r>
              </a:p>
            </c:rich>
          </c:tx>
          <c:layout>
            <c:manualLayout>
              <c:xMode val="edge"/>
              <c:yMode val="edge"/>
              <c:x val="0.4"/>
              <c:y val="0.8863070798320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44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81347150259723"/>
          <c:y val="0.40568583965763982"/>
          <c:w val="0.13989637305699681"/>
          <c:h val="0.250646537399883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paperSize="9" orientation="landscape" horizontalDpi="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Samuelson-McKean</a:t>
            </a:r>
            <a:r>
              <a:rPr lang="en-US" baseline="0"/>
              <a:t> Real </a:t>
            </a:r>
          </a:p>
          <a:p>
            <a:pPr>
              <a:defRPr/>
            </a:pPr>
            <a:r>
              <a:rPr lang="en-US" baseline="0"/>
              <a:t>American Perpetual Call Option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SAMUELSON2!$A$14</c:f>
              <c:strCache>
                <c:ptCount val="1"/>
                <c:pt idx="0">
                  <c:v>DEVELOPMENT OPTION VALUE</c:v>
                </c:pt>
              </c:strCache>
            </c:strRef>
          </c:tx>
          <c:cat>
            <c:numRef>
              <c:f>SAMUELSON2!$B$9:$J$9</c:f>
              <c:numCache>
                <c:formatCode>[$$-409]#,##0.00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SAMUELSON2!$B$14:$J$14</c:f>
              <c:numCache>
                <c:formatCode>[$$-409]#,##0.00</c:formatCode>
                <c:ptCount val="9"/>
                <c:pt idx="0">
                  <c:v>0</c:v>
                </c:pt>
                <c:pt idx="1">
                  <c:v>1.5625E-2</c:v>
                </c:pt>
                <c:pt idx="2">
                  <c:v>6.25E-2</c:v>
                </c:pt>
                <c:pt idx="3">
                  <c:v>0.140625</c:v>
                </c:pt>
                <c:pt idx="4">
                  <c:v>0.25</c:v>
                </c:pt>
                <c:pt idx="5">
                  <c:v>0.390625</c:v>
                </c:pt>
                <c:pt idx="6">
                  <c:v>0.5625</c:v>
                </c:pt>
                <c:pt idx="7">
                  <c:v>0.765625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4-4051-9700-B883E1FE0A92}"/>
            </c:ext>
          </c:extLst>
        </c:ser>
        <c:ser>
          <c:idx val="1"/>
          <c:order val="1"/>
          <c:tx>
            <c:strRef>
              <c:f>SAMUELSON2!$A$15</c:f>
              <c:strCache>
                <c:ptCount val="1"/>
                <c:pt idx="0">
                  <c:v>INTRINSIC OPTION VALUE</c:v>
                </c:pt>
              </c:strCache>
            </c:strRef>
          </c:tx>
          <c:cat>
            <c:numRef>
              <c:f>SAMUELSON2!$B$9:$J$9</c:f>
              <c:numCache>
                <c:formatCode>[$$-409]#,##0.00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SAMUELSON2!$B$15:$J$15</c:f>
              <c:numCache>
                <c:formatCode>[$$-409]#,##0.00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4-4051-9700-B883E1FE0A92}"/>
            </c:ext>
          </c:extLst>
        </c:ser>
        <c:ser>
          <c:idx val="2"/>
          <c:order val="2"/>
          <c:tx>
            <c:strRef>
              <c:f>SAMUELSON2!$A$16</c:f>
              <c:strCache>
                <c:ptCount val="1"/>
                <c:pt idx="0">
                  <c:v>DELTA</c:v>
                </c:pt>
              </c:strCache>
            </c:strRef>
          </c:tx>
          <c:cat>
            <c:numRef>
              <c:f>SAMUELSON2!$B$9:$J$9</c:f>
              <c:numCache>
                <c:formatCode>[$$-409]#,##0.00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SAMUELSON2!$B$16:$J$16</c:f>
              <c:numCache>
                <c:formatCode>0.00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C4-4051-9700-B883E1FE0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4320"/>
        <c:axId val="149146240"/>
      </c:lineChart>
      <c:catAx>
        <c:axId val="14914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V</a:t>
                </a:r>
              </a:p>
            </c:rich>
          </c:tx>
          <c:overlay val="0"/>
        </c:title>
        <c:numFmt formatCode="[$$-409]#,##0.00" sourceLinked="1"/>
        <c:majorTickMark val="out"/>
        <c:minorTickMark val="none"/>
        <c:tickLblPos val="nextTo"/>
        <c:crossAx val="149146240"/>
        <c:crosses val="autoZero"/>
        <c:auto val="1"/>
        <c:lblAlgn val="ctr"/>
        <c:lblOffset val="100"/>
        <c:noMultiLvlLbl val="0"/>
      </c:catAx>
      <c:valAx>
        <c:axId val="149146240"/>
        <c:scaling>
          <c:orientation val="minMax"/>
        </c:scaling>
        <c:delete val="0"/>
        <c:axPos val="l"/>
        <c:majorGridlines/>
        <c:numFmt formatCode="[$$-409]#,##0.00" sourceLinked="1"/>
        <c:majorTickMark val="out"/>
        <c:minorTickMark val="none"/>
        <c:tickLblPos val="nextTo"/>
        <c:crossAx val="149144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CALL OPTION</a:t>
            </a:r>
          </a:p>
        </c:rich>
      </c:tx>
      <c:layout>
        <c:manualLayout>
          <c:xMode val="edge"/>
          <c:yMode val="edge"/>
          <c:x val="0.33633633633633636"/>
          <c:y val="3.2345013477089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87214783946182E-2"/>
          <c:y val="0.21563342318059456"/>
          <c:w val="0.62012102940983171"/>
          <c:h val="0.57142857142858006"/>
        </c:manualLayout>
      </c:layout>
      <c:lineChart>
        <c:grouping val="standard"/>
        <c:varyColors val="0"/>
        <c:ser>
          <c:idx val="0"/>
          <c:order val="0"/>
          <c:tx>
            <c:strRef>
              <c:f>'CALL OPTION'!$A$8</c:f>
              <c:strCache>
                <c:ptCount val="1"/>
                <c:pt idx="0">
                  <c:v>CALL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'CALL OPTION'!$B$3:$N$3</c:f>
              <c:numCache>
                <c:formatCode>0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'CALL OPTION'!$B$8:$N$8</c:f>
              <c:numCache>
                <c:formatCode>0</c:formatCode>
                <c:ptCount val="13"/>
                <c:pt idx="0">
                  <c:v>0</c:v>
                </c:pt>
                <c:pt idx="1">
                  <c:v>1.0416666666666665</c:v>
                </c:pt>
                <c:pt idx="2">
                  <c:v>4.1666666666666661</c:v>
                </c:pt>
                <c:pt idx="3">
                  <c:v>9.375</c:v>
                </c:pt>
                <c:pt idx="4">
                  <c:v>16.666666666666664</c:v>
                </c:pt>
                <c:pt idx="5">
                  <c:v>26.041666666666671</c:v>
                </c:pt>
                <c:pt idx="6">
                  <c:v>37.5</c:v>
                </c:pt>
                <c:pt idx="7">
                  <c:v>51.041666666666679</c:v>
                </c:pt>
                <c:pt idx="8">
                  <c:v>66.666666666666657</c:v>
                </c:pt>
                <c:pt idx="9">
                  <c:v>84.375</c:v>
                </c:pt>
                <c:pt idx="10">
                  <c:v>104.16666666666669</c:v>
                </c:pt>
                <c:pt idx="11">
                  <c:v>126.04166666666666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D-4275-A5D3-40CB7C61A499}"/>
            </c:ext>
          </c:extLst>
        </c:ser>
        <c:ser>
          <c:idx val="1"/>
          <c:order val="1"/>
          <c:tx>
            <c:strRef>
              <c:f>'CALL OPTION'!$A$9</c:f>
              <c:strCache>
                <c:ptCount val="1"/>
                <c:pt idx="0">
                  <c:v>CALL INTRINSIC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'CALL OPTION'!$B$3:$N$3</c:f>
              <c:numCache>
                <c:formatCode>0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'CALL OPTION'!$B$9:$N$9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D-4275-A5D3-40CB7C61A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93408"/>
        <c:axId val="146144256"/>
      </c:lineChart>
      <c:catAx>
        <c:axId val="1457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ASSET VALUE</a:t>
                </a:r>
              </a:p>
            </c:rich>
          </c:tx>
          <c:layout>
            <c:manualLayout>
              <c:xMode val="edge"/>
              <c:yMode val="edge"/>
              <c:x val="0.30780828072167188"/>
              <c:y val="0.881401617250680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144256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93408"/>
        <c:crosses val="autoZero"/>
        <c:crossBetween val="midCat"/>
        <c:maj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74584821042789"/>
          <c:y val="0.43665768194070537"/>
          <c:w val="0.24324355851914944"/>
          <c:h val="0.13207547169811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ROV,</a:t>
            </a:r>
            <a:r>
              <a:rPr lang="en-US" baseline="0"/>
              <a:t> DELTA and V* AS FUNCTION OF ASSET VOLATILITY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VOLATILITY!$A$13</c:f>
              <c:strCache>
                <c:ptCount val="1"/>
                <c:pt idx="0">
                  <c:v>V*</c:v>
                </c:pt>
              </c:strCache>
            </c:strRef>
          </c:tx>
          <c:cat>
            <c:numRef>
              <c:f>VOLATILITY!$B$7:$J$7</c:f>
              <c:numCache>
                <c:formatCode>0.0%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VOLATILITY!$B$13:$J$13</c:f>
              <c:numCache>
                <c:formatCode>[$$-409]#,##0.00</c:formatCode>
                <c:ptCount val="9"/>
                <c:pt idx="0">
                  <c:v>1.1930908858062585</c:v>
                </c:pt>
                <c:pt idx="1">
                  <c:v>1.3026416924339062</c:v>
                </c:pt>
                <c:pt idx="2">
                  <c:v>1.4215351654086268</c:v>
                </c:pt>
                <c:pt idx="3">
                  <c:v>1.5502589932131432</c:v>
                </c:pt>
                <c:pt idx="4">
                  <c:v>1.6892828083149825</c:v>
                </c:pt>
                <c:pt idx="5">
                  <c:v>1.8390549607522584</c:v>
                </c:pt>
                <c:pt idx="6">
                  <c:v>2</c:v>
                </c:pt>
                <c:pt idx="7">
                  <c:v>2.1725168824763537</c:v>
                </c:pt>
                <c:pt idx="8">
                  <c:v>2.3569778810041391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E-4C22-B948-7C73CA0474FC}"/>
            </c:ext>
          </c:extLst>
        </c:ser>
        <c:ser>
          <c:idx val="1"/>
          <c:order val="1"/>
          <c:tx>
            <c:strRef>
              <c:f>VOLATILITY!$A$14</c:f>
              <c:strCache>
                <c:ptCount val="1"/>
                <c:pt idx="0">
                  <c:v>ROV</c:v>
                </c:pt>
              </c:strCache>
            </c:strRef>
          </c:tx>
          <c:cat>
            <c:numRef>
              <c:f>VOLATILITY!$B$7:$J$7</c:f>
              <c:numCache>
                <c:formatCode>0.0%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VOLATILITY!$B$14:$J$14</c:f>
              <c:numCache>
                <c:formatCode>[$$-409]#,##0.00</c:formatCode>
                <c:ptCount val="9"/>
                <c:pt idx="0">
                  <c:v>6.4863902219186337E-2</c:v>
                </c:pt>
                <c:pt idx="1">
                  <c:v>9.6982820093864094E-2</c:v>
                </c:pt>
                <c:pt idx="2">
                  <c:v>0.12873367971648519</c:v>
                </c:pt>
                <c:pt idx="3">
                  <c:v>0.16000600060882611</c:v>
                </c:pt>
                <c:pt idx="4">
                  <c:v>0.19069894727774556</c:v>
                </c:pt>
                <c:pt idx="5">
                  <c:v>0.22072281110023048</c:v>
                </c:pt>
                <c:pt idx="6">
                  <c:v>0.25</c:v>
                </c:pt>
                <c:pt idx="7">
                  <c:v>0.27846554057978989</c:v>
                </c:pt>
                <c:pt idx="8">
                  <c:v>0.30606712889071547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E-4C22-B948-7C73CA0474FC}"/>
            </c:ext>
          </c:extLst>
        </c:ser>
        <c:ser>
          <c:idx val="2"/>
          <c:order val="2"/>
          <c:tx>
            <c:strRef>
              <c:f>VOLATILITY!$A$15</c:f>
              <c:strCache>
                <c:ptCount val="1"/>
                <c:pt idx="0">
                  <c:v>DELTA</c:v>
                </c:pt>
              </c:strCache>
            </c:strRef>
          </c:tx>
          <c:cat>
            <c:numRef>
              <c:f>VOLATILITY!$B$7:$J$7</c:f>
              <c:numCache>
                <c:formatCode>0.0%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VOLATILITY!$B$15:$J$15</c:f>
              <c:numCache>
                <c:formatCode>0.00</c:formatCode>
                <c:ptCount val="9"/>
                <c:pt idx="0">
                  <c:v>0.40078810676330334</c:v>
                </c:pt>
                <c:pt idx="1">
                  <c:v>0.41743708174535205</c:v>
                </c:pt>
                <c:pt idx="2">
                  <c:v>0.43412618378359819</c:v>
                </c:pt>
                <c:pt idx="3">
                  <c:v>0.45078907291174003</c:v>
                </c:pt>
                <c:pt idx="4">
                  <c:v>0.46736179883489865</c:v>
                </c:pt>
                <c:pt idx="5">
                  <c:v>0.48378401855956116</c:v>
                </c:pt>
                <c:pt idx="6">
                  <c:v>0.5</c:v>
                </c:pt>
                <c:pt idx="7">
                  <c:v>0.51595938373168659</c:v>
                </c:pt>
                <c:pt idx="8">
                  <c:v>0.53161769472914411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9E-4C22-B948-7C73CA04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18880"/>
        <c:axId val="154220800"/>
      </c:lineChart>
      <c:catAx>
        <c:axId val="1542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ASSET</a:t>
                </a:r>
                <a:r>
                  <a:rPr lang="en-US" baseline="0"/>
                  <a:t> VOLATILITY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54220800"/>
        <c:crosses val="autoZero"/>
        <c:auto val="1"/>
        <c:lblAlgn val="ctr"/>
        <c:lblOffset val="100"/>
        <c:noMultiLvlLbl val="0"/>
      </c:catAx>
      <c:valAx>
        <c:axId val="154220800"/>
        <c:scaling>
          <c:orientation val="minMax"/>
        </c:scaling>
        <c:delete val="0"/>
        <c:axPos val="l"/>
        <c:majorGridlines/>
        <c:numFmt formatCode="[$$-409]#,##0.00" sourceLinked="1"/>
        <c:majorTickMark val="out"/>
        <c:minorTickMark val="none"/>
        <c:tickLblPos val="nextTo"/>
        <c:crossAx val="154218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OPTION VALUE, DELTA &amp; GAMMA
 as Function of Interest Rates</a:t>
            </a:r>
          </a:p>
        </c:rich>
      </c:tx>
      <c:layout>
        <c:manualLayout>
          <c:xMode val="edge"/>
          <c:yMode val="edge"/>
          <c:x val="0.25987841945289197"/>
          <c:y val="3.1319910514541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89108500181442E-2"/>
          <c:y val="0.21029128716462309"/>
          <c:w val="0.75683946740201524"/>
          <c:h val="0.6442967096107507"/>
        </c:manualLayout>
      </c:layout>
      <c:lineChart>
        <c:grouping val="standard"/>
        <c:varyColors val="0"/>
        <c:ser>
          <c:idx val="0"/>
          <c:order val="0"/>
          <c:tx>
            <c:strRef>
              <c:f>'[4]DELTA, GAMMA'!$A$24</c:f>
              <c:strCache>
                <c:ptCount val="1"/>
                <c:pt idx="0">
                  <c:v>ROV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'[4]DELTA,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'[4]DELTA, GAMMA'!$B$24:$J$24</c:f>
              <c:numCache>
                <c:formatCode>General</c:formatCode>
                <c:ptCount val="9"/>
                <c:pt idx="0">
                  <c:v>0.19442768285708267</c:v>
                </c:pt>
                <c:pt idx="1">
                  <c:v>0.2077116735186976</c:v>
                </c:pt>
                <c:pt idx="2">
                  <c:v>0.22148883734991726</c:v>
                </c:pt>
                <c:pt idx="3">
                  <c:v>0.23562979124734945</c:v>
                </c:pt>
                <c:pt idx="4">
                  <c:v>0.25000000000000006</c:v>
                </c:pt>
                <c:pt idx="5">
                  <c:v>0.26446883388207576</c:v>
                </c:pt>
                <c:pt idx="6">
                  <c:v>0.27891679653772417</c:v>
                </c:pt>
                <c:pt idx="7">
                  <c:v>0.29324023055242654</c:v>
                </c:pt>
                <c:pt idx="8">
                  <c:v>0.30735350239315212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5-4E43-AEFB-D0DEEC9B9841}"/>
            </c:ext>
          </c:extLst>
        </c:ser>
        <c:ser>
          <c:idx val="1"/>
          <c:order val="1"/>
          <c:tx>
            <c:strRef>
              <c:f>'[4]DELTA, GAMMA'!$A$25</c:f>
              <c:strCache>
                <c:ptCount val="1"/>
                <c:pt idx="0">
                  <c:v>ROV 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'[4]DELTA,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'[4]DELTA, GAMMA'!$B$25:$J$25</c:f>
              <c:numCache>
                <c:formatCode>General</c:formatCode>
                <c:ptCount val="9"/>
                <c:pt idx="0">
                  <c:v>0.46938994885434387</c:v>
                </c:pt>
                <c:pt idx="1">
                  <c:v>0.47664160339522865</c:v>
                </c:pt>
                <c:pt idx="2">
                  <c:v>0.48420575342880573</c:v>
                </c:pt>
                <c:pt idx="3">
                  <c:v>0.49201561910156022</c:v>
                </c:pt>
                <c:pt idx="4">
                  <c:v>0.5</c:v>
                </c:pt>
                <c:pt idx="5">
                  <c:v>0.5080881639981768</c:v>
                </c:pt>
                <c:pt idx="6">
                  <c:v>0.51621392416888801</c:v>
                </c:pt>
                <c:pt idx="7">
                  <c:v>0.52431846950067373</c:v>
                </c:pt>
                <c:pt idx="8">
                  <c:v>0.53235188202918193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5-4E43-AEFB-D0DEEC9B9841}"/>
            </c:ext>
          </c:extLst>
        </c:ser>
        <c:ser>
          <c:idx val="2"/>
          <c:order val="2"/>
          <c:tx>
            <c:strRef>
              <c:f>'[4]DELTA, GAMMA'!$A$26</c:f>
              <c:strCache>
                <c:ptCount val="1"/>
                <c:pt idx="0">
                  <c:v>ROV G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'[4]DELTA,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'[4]DELTA, GAMMA'!$B$26:$J$26</c:f>
              <c:numCache>
                <c:formatCode>General</c:formatCode>
                <c:ptCount val="9"/>
                <c:pt idx="0">
                  <c:v>0.66381763171142649</c:v>
                </c:pt>
                <c:pt idx="1">
                  <c:v>0.61712079444479317</c:v>
                </c:pt>
                <c:pt idx="2">
                  <c:v>0.57433613273927842</c:v>
                </c:pt>
                <c:pt idx="3">
                  <c:v>0.53535603945825139</c:v>
                </c:pt>
                <c:pt idx="4">
                  <c:v>0.49999999999999989</c:v>
                </c:pt>
                <c:pt idx="5">
                  <c:v>0.46803283523512618</c:v>
                </c:pt>
                <c:pt idx="6">
                  <c:v>0.4391850292598663</c:v>
                </c:pt>
                <c:pt idx="7">
                  <c:v>0.41317178189366754</c:v>
                </c:pt>
                <c:pt idx="8">
                  <c:v>0.38970862515027427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25-4E43-AEFB-D0DEEC9B9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09376"/>
        <c:axId val="154311680"/>
      </c:lineChart>
      <c:catAx>
        <c:axId val="15430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Interest Rate</a:t>
                </a:r>
              </a:p>
            </c:rich>
          </c:tx>
          <c:layout>
            <c:manualLayout>
              <c:xMode val="edge"/>
              <c:yMode val="edge"/>
              <c:x val="0.38297904251330284"/>
              <c:y val="0.91499092814740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31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1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3093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74227955549277"/>
          <c:y val="0.46085105133670368"/>
          <c:w val="0.12310046350589154"/>
          <c:h val="0.14317696865073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TOURINHO</a:t>
            </a:r>
            <a:r>
              <a:rPr lang="en-US" baseline="0"/>
              <a:t> ROV as Function of V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'TOURINHO I'!$A$15</c:f>
              <c:strCache>
                <c:ptCount val="1"/>
                <c:pt idx="0">
                  <c:v>C(V)</c:v>
                </c:pt>
              </c:strCache>
            </c:strRef>
          </c:tx>
          <c:cat>
            <c:numRef>
              <c:f>'TOURINHO I'!$B$3:$K$3</c:f>
              <c:numCache>
                <c:formatCode>General</c:formatCode>
                <c:ptCount val="10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</c:numCache>
            </c:numRef>
          </c:cat>
          <c:val>
            <c:numRef>
              <c:f>'TOURINHO I'!$B$15:$K$15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3.5665593654670147E-2</c:v>
                </c:pt>
                <c:pt idx="3">
                  <c:v>0.17769285284509095</c:v>
                </c:pt>
                <c:pt idx="4">
                  <c:v>0.41121613295156578</c:v>
                </c:pt>
                <c:pt idx="5">
                  <c:v>0.72136409231438847</c:v>
                </c:pt>
                <c:pt idx="6">
                  <c:v>1.0959646642205527</c:v>
                </c:pt>
                <c:pt idx="7">
                  <c:v>1.5250061889334887</c:v>
                </c:pt>
                <c:pt idx="8">
                  <c:v>2.0002154631673577</c:v>
                </c:pt>
                <c:pt idx="9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4B-469E-9B1F-CE853E9FC4E9}"/>
            </c:ext>
          </c:extLst>
        </c:ser>
        <c:ser>
          <c:idx val="1"/>
          <c:order val="1"/>
          <c:tx>
            <c:strRef>
              <c:f>'TOURINHO I'!$A$16</c:f>
              <c:strCache>
                <c:ptCount val="1"/>
                <c:pt idx="0">
                  <c:v>MAX(V-X,0)</c:v>
                </c:pt>
              </c:strCache>
            </c:strRef>
          </c:tx>
          <c:cat>
            <c:numRef>
              <c:f>'TOURINHO I'!$B$3:$K$3</c:f>
              <c:numCache>
                <c:formatCode>General</c:formatCode>
                <c:ptCount val="10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</c:numCache>
            </c:numRef>
          </c:cat>
          <c:val>
            <c:numRef>
              <c:f>'TOURINHO I'!$B$16:$K$16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B-469E-9B1F-CE853E9FC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61024"/>
        <c:axId val="149787776"/>
      </c:lineChart>
      <c:catAx>
        <c:axId val="14976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87776"/>
        <c:crosses val="autoZero"/>
        <c:auto val="1"/>
        <c:lblAlgn val="ctr"/>
        <c:lblOffset val="100"/>
        <c:noMultiLvlLbl val="0"/>
      </c:catAx>
      <c:valAx>
        <c:axId val="14978777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49761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DEFAULT</a:t>
            </a:r>
            <a:r>
              <a:rPr lang="en-US" baseline="0"/>
              <a:t> OPTION as function of Asset Value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105508870214752"/>
          <c:w val="0.89019685039370078"/>
          <c:h val="0.68939911922774355"/>
        </c:manualLayout>
      </c:layout>
      <c:lineChart>
        <c:grouping val="standard"/>
        <c:varyColors val="0"/>
        <c:ser>
          <c:idx val="1"/>
          <c:order val="0"/>
          <c:tx>
            <c:strRef>
              <c:f>'DEFAULT OPTION'!$A$16</c:f>
              <c:strCache>
                <c:ptCount val="1"/>
                <c:pt idx="0">
                  <c:v>DEFAULT OPTION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'DEFAULT OPTION'!$B$15:$J$15</c:f>
              <c:numCache>
                <c:formatCode>General</c:formatCode>
                <c:ptCount val="9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</c:numCache>
            </c:numRef>
          </c:cat>
          <c:val>
            <c:numRef>
              <c:f>'DEFAULT OPTION'!$B$16:$J$16</c:f>
              <c:numCache>
                <c:formatCode>0.00</c:formatCode>
                <c:ptCount val="9"/>
                <c:pt idx="0">
                  <c:v>70.093740234374962</c:v>
                </c:pt>
                <c:pt idx="1">
                  <c:v>40.563507080078118</c:v>
                </c:pt>
                <c:pt idx="2">
                  <c:v>25.544365974626459</c:v>
                </c:pt>
                <c:pt idx="3">
                  <c:v>17.112729549407959</c:v>
                </c:pt>
                <c:pt idx="4">
                  <c:v>12.018816912615748</c:v>
                </c:pt>
                <c:pt idx="5">
                  <c:v>8.7617175292968739</c:v>
                </c:pt>
                <c:pt idx="6">
                  <c:v>6.5828080610795467</c:v>
                </c:pt>
                <c:pt idx="7">
                  <c:v>5.0704383850097656</c:v>
                </c:pt>
                <c:pt idx="8">
                  <c:v>3.988037109375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9-4461-933B-C5BE76C573FE}"/>
            </c:ext>
          </c:extLst>
        </c:ser>
        <c:ser>
          <c:idx val="2"/>
          <c:order val="1"/>
          <c:tx>
            <c:strRef>
              <c:f>'DEFAULT OPTION'!$A$17</c:f>
              <c:strCache>
                <c:ptCount val="1"/>
                <c:pt idx="0">
                  <c:v>V*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'DEFAULT OPTION'!$B$15:$J$15</c:f>
              <c:numCache>
                <c:formatCode>General</c:formatCode>
                <c:ptCount val="9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</c:numCache>
            </c:numRef>
          </c:cat>
          <c:val>
            <c:numRef>
              <c:f>'DEFAULT OPTION'!$B$17:$J$17</c:f>
              <c:numCache>
                <c:formatCode>0.00</c:formatCode>
                <c:ptCount val="9"/>
                <c:pt idx="0">
                  <c:v>29.967724609375029</c:v>
                </c:pt>
                <c:pt idx="1">
                  <c:v>63.152618408203132</c:v>
                </c:pt>
                <c:pt idx="2">
                  <c:v>84.944506052979236</c:v>
                </c:pt>
                <c:pt idx="3">
                  <c:v>101.56438589096069</c:v>
                </c:pt>
                <c:pt idx="4">
                  <c:v>115.56373878761572</c:v>
                </c:pt>
                <c:pt idx="5">
                  <c:v>128.12096557617187</c:v>
                </c:pt>
                <c:pt idx="6">
                  <c:v>139.83167962146646</c:v>
                </c:pt>
                <c:pt idx="7">
                  <c:v>151.01907730102539</c:v>
                </c:pt>
                <c:pt idx="8">
                  <c:v>161.868896484375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9-4461-933B-C5BE76C573FE}"/>
            </c:ext>
          </c:extLst>
        </c:ser>
        <c:ser>
          <c:idx val="3"/>
          <c:order val="2"/>
          <c:tx>
            <c:strRef>
              <c:f>'DEFAULT OPTION'!$A$18</c:f>
              <c:strCache>
                <c:ptCount val="1"/>
                <c:pt idx="0">
                  <c:v>D*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'DEFAULT OPTION'!$B$15:$J$15</c:f>
              <c:numCache>
                <c:formatCode>General</c:formatCode>
                <c:ptCount val="9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</c:numCache>
            </c:numRef>
          </c:cat>
          <c:val>
            <c:numRef>
              <c:f>'DEFAULT OPTION'!$B$18:$J$18</c:f>
              <c:numCache>
                <c:formatCode>0.00</c:formatCode>
                <c:ptCount val="9"/>
                <c:pt idx="0">
                  <c:v>29.906259765625038</c:v>
                </c:pt>
                <c:pt idx="1">
                  <c:v>59.436492919921882</c:v>
                </c:pt>
                <c:pt idx="2">
                  <c:v>74.455634025373541</c:v>
                </c:pt>
                <c:pt idx="3">
                  <c:v>82.887270450592041</c:v>
                </c:pt>
                <c:pt idx="4">
                  <c:v>87.981183087384252</c:v>
                </c:pt>
                <c:pt idx="5">
                  <c:v>91.238282470703126</c:v>
                </c:pt>
                <c:pt idx="6">
                  <c:v>93.417191938920453</c:v>
                </c:pt>
                <c:pt idx="7">
                  <c:v>94.929561614990234</c:v>
                </c:pt>
                <c:pt idx="8">
                  <c:v>96.011962890625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A9-4461-933B-C5BE76C57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537744"/>
        <c:axId val="587513144"/>
      </c:lineChart>
      <c:catAx>
        <c:axId val="587537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Nominal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13144"/>
        <c:crosses val="autoZero"/>
        <c:auto val="1"/>
        <c:lblAlgn val="ctr"/>
        <c:lblOffset val="100"/>
        <c:noMultiLvlLbl val="0"/>
      </c:catAx>
      <c:valAx>
        <c:axId val="5875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3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</a:t>
            </a:r>
            <a:r>
              <a:rPr lang="en-US" baseline="0"/>
              <a:t> PUT OPTION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'PUT OPTION'!$A$8</c:f>
              <c:strCache>
                <c:ptCount val="1"/>
                <c:pt idx="0">
                  <c:v>PUT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'PUT OPTION'!$B$3:$N$3</c:f>
              <c:numCache>
                <c:formatCode>0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'PUT OPTION'!$B$8:$N$8</c:f>
              <c:numCache>
                <c:formatCode>0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56.25</c:v>
                </c:pt>
                <c:pt idx="5">
                  <c:v>45.000000000000007</c:v>
                </c:pt>
                <c:pt idx="6">
                  <c:v>37.5</c:v>
                </c:pt>
                <c:pt idx="7">
                  <c:v>32.142857142857146</c:v>
                </c:pt>
                <c:pt idx="8">
                  <c:v>28.125000000000007</c:v>
                </c:pt>
                <c:pt idx="9">
                  <c:v>25.000000000000004</c:v>
                </c:pt>
                <c:pt idx="10">
                  <c:v>22.500000000000004</c:v>
                </c:pt>
                <c:pt idx="11">
                  <c:v>20.454545454545457</c:v>
                </c:pt>
                <c:pt idx="12">
                  <c:v>18.750000000000004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3-40B6-889F-31B0C108B7D4}"/>
            </c:ext>
          </c:extLst>
        </c:ser>
        <c:ser>
          <c:idx val="1"/>
          <c:order val="1"/>
          <c:tx>
            <c:strRef>
              <c:f>'PUT OPTION'!$A$9</c:f>
              <c:strCache>
                <c:ptCount val="1"/>
                <c:pt idx="0">
                  <c:v>PUT INTRINSIC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'PUT OPTION'!$B$3:$N$3</c:f>
              <c:numCache>
                <c:formatCode>0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'PUT OPTION'!$B$9:$N$9</c:f>
              <c:numCache>
                <c:formatCode>0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3-40B6-889F-31B0C108B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01472"/>
        <c:axId val="588357080"/>
      </c:lineChart>
      <c:catAx>
        <c:axId val="38930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57080"/>
        <c:crosses val="autoZero"/>
        <c:auto val="1"/>
        <c:lblAlgn val="ctr"/>
        <c:lblOffset val="100"/>
        <c:noMultiLvlLbl val="0"/>
      </c:catAx>
      <c:valAx>
        <c:axId val="5883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3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</a:t>
            </a:r>
            <a:r>
              <a:rPr lang="en-US" baseline="0"/>
              <a:t> EXCHANGE OPTION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EXCHANGE!$A$11</c:f>
              <c:strCache>
                <c:ptCount val="1"/>
                <c:pt idx="0">
                  <c:v>EXCHANGE CALL OPTION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EXCHANGE!$B$3:$N$3</c:f>
              <c:numCache>
                <c:formatCode>0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EXCHANGE!$B$11:$N$11</c:f>
              <c:numCache>
                <c:formatCode>0</c:formatCode>
                <c:ptCount val="13"/>
                <c:pt idx="0">
                  <c:v>0</c:v>
                </c:pt>
                <c:pt idx="1">
                  <c:v>1.0416666666666665</c:v>
                </c:pt>
                <c:pt idx="2">
                  <c:v>4.1666666666666661</c:v>
                </c:pt>
                <c:pt idx="3">
                  <c:v>9.375</c:v>
                </c:pt>
                <c:pt idx="4">
                  <c:v>16.666666666666664</c:v>
                </c:pt>
                <c:pt idx="5">
                  <c:v>26.041666666666671</c:v>
                </c:pt>
                <c:pt idx="6">
                  <c:v>37.5</c:v>
                </c:pt>
                <c:pt idx="7">
                  <c:v>51.041666666666679</c:v>
                </c:pt>
                <c:pt idx="8">
                  <c:v>66.666666666666657</c:v>
                </c:pt>
                <c:pt idx="9">
                  <c:v>84.375</c:v>
                </c:pt>
                <c:pt idx="10">
                  <c:v>104.16666666666669</c:v>
                </c:pt>
                <c:pt idx="11">
                  <c:v>126.04166666666666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6B-4094-B991-498206BF62B5}"/>
            </c:ext>
          </c:extLst>
        </c:ser>
        <c:ser>
          <c:idx val="1"/>
          <c:order val="1"/>
          <c:tx>
            <c:strRef>
              <c:f>EXCHANGE!$A$12</c:f>
              <c:strCache>
                <c:ptCount val="1"/>
                <c:pt idx="0">
                  <c:v>EXCHANGE INTRINSIC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EXCHANGE!$B$3:$N$3</c:f>
              <c:numCache>
                <c:formatCode>0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EXCHANGE!$B$12:$N$12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B-4094-B991-498206BF6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11008"/>
        <c:axId val="556512976"/>
      </c:lineChart>
      <c:catAx>
        <c:axId val="55651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512976"/>
        <c:crosses val="autoZero"/>
        <c:auto val="1"/>
        <c:lblAlgn val="ctr"/>
        <c:lblOffset val="100"/>
        <c:noMultiLvlLbl val="0"/>
      </c:catAx>
      <c:valAx>
        <c:axId val="556512976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51100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VALUE</a:t>
            </a:r>
            <a:r>
              <a:rPr lang="en-US" baseline="0"/>
              <a:t> MATCHING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ValueMatch!$A$31</c:f>
              <c:strCache>
                <c:ptCount val="1"/>
                <c:pt idx="0">
                  <c:v>AVb1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ValueMatch!$B$3:$N$3</c:f>
              <c:numCache>
                <c:formatCode>0</c:formatCode>
                <c:ptCount val="13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</c:numCache>
            </c:numRef>
          </c:cat>
          <c:val>
            <c:numRef>
              <c:f>ValueMatch!$B$31:$N$31</c:f>
              <c:numCache>
                <c:formatCode>0.00</c:formatCode>
                <c:ptCount val="13"/>
                <c:pt idx="0">
                  <c:v>66.666666666666671</c:v>
                </c:pt>
                <c:pt idx="1">
                  <c:v>73.5</c:v>
                </c:pt>
                <c:pt idx="2">
                  <c:v>80.666666666666671</c:v>
                </c:pt>
                <c:pt idx="3">
                  <c:v>88.166666666666671</c:v>
                </c:pt>
                <c:pt idx="4">
                  <c:v>96</c:v>
                </c:pt>
                <c:pt idx="5">
                  <c:v>104.16666666666667</c:v>
                </c:pt>
                <c:pt idx="6">
                  <c:v>112.66666666666667</c:v>
                </c:pt>
                <c:pt idx="7">
                  <c:v>121.50000000000001</c:v>
                </c:pt>
                <c:pt idx="8">
                  <c:v>130.66666666666669</c:v>
                </c:pt>
                <c:pt idx="9">
                  <c:v>140.16666666666669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9-41B3-8AE2-2D35F2995EC1}"/>
            </c:ext>
          </c:extLst>
        </c:ser>
        <c:ser>
          <c:idx val="1"/>
          <c:order val="1"/>
          <c:tx>
            <c:strRef>
              <c:f>ValueMatch!$A$32</c:f>
              <c:strCache>
                <c:ptCount val="1"/>
                <c:pt idx="0">
                  <c:v>V*-K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ValueMatch!$B$3:$N$3</c:f>
              <c:numCache>
                <c:formatCode>0</c:formatCode>
                <c:ptCount val="13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</c:numCache>
            </c:numRef>
          </c:cat>
          <c:val>
            <c:numRef>
              <c:f>ValueMatch!$B$32:$N$32</c:f>
              <c:numCache>
                <c:formatCode>0</c:formatCode>
                <c:ptCount val="13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9-41B3-8AE2-2D35F2995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78768"/>
        <c:axId val="495579096"/>
      </c:lineChart>
      <c:catAx>
        <c:axId val="49557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ASSET</a:t>
                </a:r>
                <a:r>
                  <a:rPr lang="en-US" baseline="0"/>
                  <a:t> VALUE V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79096"/>
        <c:crosses val="autoZero"/>
        <c:auto val="1"/>
        <c:lblAlgn val="ctr"/>
        <c:lblOffset val="100"/>
        <c:noMultiLvlLbl val="0"/>
      </c:catAx>
      <c:valAx>
        <c:axId val="49557909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787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START UP</a:t>
            </a:r>
            <a:r>
              <a:rPr lang="en-US" baseline="0"/>
              <a:t> ROV as function of INPUT 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STARTUP!$A$26</c:f>
              <c:strCache>
                <c:ptCount val="1"/>
                <c:pt idx="0">
                  <c:v>ROV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STARTUP!$B$4:$I$4</c:f>
              <c:numCache>
                <c:formatCode>General</c:formatCode>
                <c:ptCount val="8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</c:numCache>
            </c:numRef>
          </c:cat>
          <c:val>
            <c:numRef>
              <c:f>STARTUP!$B$26:$I$26</c:f>
              <c:numCache>
                <c:formatCode>0.000</c:formatCode>
                <c:ptCount val="8"/>
                <c:pt idx="0">
                  <c:v>820.02427880456514</c:v>
                </c:pt>
                <c:pt idx="1">
                  <c:v>875.76324214363171</c:v>
                </c:pt>
                <c:pt idx="2">
                  <c:v>942.57101082178519</c:v>
                </c:pt>
                <c:pt idx="3">
                  <c:v>1024.4961737821282</c:v>
                </c:pt>
                <c:pt idx="4">
                  <c:v>1127.9656096281826</c:v>
                </c:pt>
                <c:pt idx="5">
                  <c:v>1263.9143268972271</c:v>
                </c:pt>
                <c:pt idx="6">
                  <c:v>1452.7972347750233</c:v>
                </c:pt>
                <c:pt idx="7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7A-4339-9A95-78CFA5A05C34}"/>
            </c:ext>
          </c:extLst>
        </c:ser>
        <c:ser>
          <c:idx val="1"/>
          <c:order val="1"/>
          <c:tx>
            <c:strRef>
              <c:f>STARTUP!$A$27</c:f>
              <c:strCache>
                <c:ptCount val="1"/>
                <c:pt idx="0">
                  <c:v>NPV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STARTUP!$B$4:$I$4</c:f>
              <c:numCache>
                <c:formatCode>General</c:formatCode>
                <c:ptCount val="8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</c:numCache>
            </c:numRef>
          </c:cat>
          <c:val>
            <c:numRef>
              <c:f>STARTUP!$B$27:$I$27</c:f>
              <c:numCache>
                <c:formatCode>0.000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450</c:v>
                </c:pt>
                <c:pt idx="3">
                  <c:v>700</c:v>
                </c:pt>
                <c:pt idx="4">
                  <c:v>950</c:v>
                </c:pt>
                <c:pt idx="5">
                  <c:v>1200</c:v>
                </c:pt>
                <c:pt idx="6">
                  <c:v>1450</c:v>
                </c:pt>
                <c:pt idx="7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A-4339-9A95-78CFA5A05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01216"/>
        <c:axId val="613302528"/>
      </c:lineChart>
      <c:catAx>
        <c:axId val="61330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</a:t>
                </a:r>
                <a:r>
                  <a:rPr lang="en-US" baseline="0"/>
                  <a:t> y, OUTPUT x=100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302528"/>
        <c:crosses val="autoZero"/>
        <c:auto val="1"/>
        <c:lblAlgn val="ctr"/>
        <c:lblOffset val="100"/>
        <c:noMultiLvlLbl val="0"/>
      </c:catAx>
      <c:valAx>
        <c:axId val="613302528"/>
        <c:scaling>
          <c:orientation val="minMax"/>
          <c:max val="1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301216"/>
        <c:crosses val="autoZero"/>
        <c:crossBetween val="between"/>
        <c:majorUnit val="200"/>
        <c:minorUnit val="4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SHUT</a:t>
            </a:r>
            <a:r>
              <a:rPr lang="en-US" baseline="0"/>
              <a:t> DOWN OPTION VALUE as function of INPUT 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'SHUT DOWN'!$A$27</c:f>
              <c:strCache>
                <c:ptCount val="1"/>
                <c:pt idx="0">
                  <c:v>ROV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'SHUT DOWN'!$B$4:$H$4</c:f>
              <c:numCache>
                <c:formatCode>#,##0.000</c:formatCode>
                <c:ptCount val="7"/>
                <c:pt idx="0">
                  <c:v>200</c:v>
                </c:pt>
                <c:pt idx="1">
                  <c:v>175</c:v>
                </c:pt>
                <c:pt idx="2">
                  <c:v>150</c:v>
                </c:pt>
                <c:pt idx="3">
                  <c:v>125</c:v>
                </c:pt>
                <c:pt idx="4">
                  <c:v>100</c:v>
                </c:pt>
                <c:pt idx="5">
                  <c:v>75</c:v>
                </c:pt>
                <c:pt idx="6">
                  <c:v>50</c:v>
                </c:pt>
              </c:numCache>
            </c:numRef>
          </c:cat>
          <c:val>
            <c:numRef>
              <c:f>'SHUT DOWN'!$B$27:$H$27</c:f>
              <c:numCache>
                <c:formatCode>0</c:formatCode>
                <c:ptCount val="7"/>
                <c:pt idx="0">
                  <c:v>2780.1751519175764</c:v>
                </c:pt>
                <c:pt idx="1">
                  <c:v>2295.6934399856345</c:v>
                </c:pt>
                <c:pt idx="2">
                  <c:v>1840.4105849865398</c:v>
                </c:pt>
                <c:pt idx="3">
                  <c:v>1417.0063702265336</c:v>
                </c:pt>
                <c:pt idx="4">
                  <c:v>1028.9789723849824</c:v>
                </c:pt>
                <c:pt idx="5">
                  <c:v>681.15988706672476</c:v>
                </c:pt>
                <c:pt idx="6">
                  <c:v>380.83849676886894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F-47FD-970B-3695973FC337}"/>
            </c:ext>
          </c:extLst>
        </c:ser>
        <c:ser>
          <c:idx val="2"/>
          <c:order val="1"/>
          <c:tx>
            <c:strRef>
              <c:f>'SHUT DOWN'!$A$28</c:f>
              <c:strCache>
                <c:ptCount val="1"/>
                <c:pt idx="0">
                  <c:v>-NPV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'SHUT DOWN'!$B$4:$H$4</c:f>
              <c:numCache>
                <c:formatCode>#,##0.000</c:formatCode>
                <c:ptCount val="7"/>
                <c:pt idx="0">
                  <c:v>200</c:v>
                </c:pt>
                <c:pt idx="1">
                  <c:v>175</c:v>
                </c:pt>
                <c:pt idx="2">
                  <c:v>150</c:v>
                </c:pt>
                <c:pt idx="3">
                  <c:v>125</c:v>
                </c:pt>
                <c:pt idx="4">
                  <c:v>100</c:v>
                </c:pt>
                <c:pt idx="5">
                  <c:v>75</c:v>
                </c:pt>
                <c:pt idx="6">
                  <c:v>50</c:v>
                </c:pt>
              </c:numCache>
            </c:numRef>
          </c:cat>
          <c:val>
            <c:numRef>
              <c:f>'SHUT DOWN'!$B$28:$H$28</c:f>
              <c:numCache>
                <c:formatCode>0</c:formatCode>
                <c:ptCount val="7"/>
                <c:pt idx="0">
                  <c:v>2500</c:v>
                </c:pt>
                <c:pt idx="1">
                  <c:v>1875</c:v>
                </c:pt>
                <c:pt idx="2">
                  <c:v>1250</c:v>
                </c:pt>
                <c:pt idx="3">
                  <c:v>625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4F-47FD-970B-3695973F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9856"/>
        <c:axId val="617063136"/>
      </c:lineChart>
      <c:catAx>
        <c:axId val="61705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</a:t>
                </a:r>
                <a:r>
                  <a:rPr lang="en-US" baseline="0"/>
                  <a:t> y, OUTPUT x=100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63136"/>
        <c:crosses val="autoZero"/>
        <c:auto val="1"/>
        <c:lblAlgn val="ctr"/>
        <c:lblOffset val="100"/>
        <c:noMultiLvlLbl val="0"/>
      </c:catAx>
      <c:valAx>
        <c:axId val="61706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5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OUTPUT</a:t>
            </a:r>
            <a:r>
              <a:rPr lang="en-US" baseline="0"/>
              <a:t> SWITCHING OPTION as function of 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'OUTPUT SWITCH'!$A$26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'OUTPUT SWITCH'!$B$29:$L$29</c:f>
              <c:numCache>
                <c:formatCode>General</c:formatCode>
                <c:ptCount val="11"/>
                <c:pt idx="0">
                  <c:v>1E-3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</c:numCache>
            </c:numRef>
          </c:cat>
          <c:val>
            <c:numRef>
              <c:f>'OUTPUT SWITCH'!$B$26:$L$26</c:f>
              <c:numCache>
                <c:formatCode>0.000</c:formatCode>
                <c:ptCount val="11"/>
                <c:pt idx="0">
                  <c:v>1500.0000695977374</c:v>
                </c:pt>
                <c:pt idx="1">
                  <c:v>1640.9532794290253</c:v>
                </c:pt>
                <c:pt idx="2">
                  <c:v>1880.8384967688689</c:v>
                </c:pt>
                <c:pt idx="3">
                  <c:v>2181.1598870667249</c:v>
                </c:pt>
                <c:pt idx="4">
                  <c:v>2528.9789723849826</c:v>
                </c:pt>
                <c:pt idx="5">
                  <c:v>2917.0063702265334</c:v>
                </c:pt>
                <c:pt idx="6">
                  <c:v>3340.41058498654</c:v>
                </c:pt>
                <c:pt idx="7">
                  <c:v>3795.6934399856345</c:v>
                </c:pt>
                <c:pt idx="8">
                  <c:v>4280.1751519175759</c:v>
                </c:pt>
                <c:pt idx="9">
                  <c:v>4791.7204454429302</c:v>
                </c:pt>
                <c:pt idx="10">
                  <c:v>5328.577654489517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4-4A8A-AE1C-3C3CECDD7FF1}"/>
            </c:ext>
          </c:extLst>
        </c:ser>
        <c:ser>
          <c:idx val="1"/>
          <c:order val="1"/>
          <c:tx>
            <c:strRef>
              <c:f>'OUTPUT SWITCH'!$A$27</c:f>
              <c:strCache>
                <c:ptCount val="1"/>
                <c:pt idx="0">
                  <c:v>NPV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'OUTPUT SWITCH'!$B$29:$L$29</c:f>
              <c:numCache>
                <c:formatCode>General</c:formatCode>
                <c:ptCount val="11"/>
                <c:pt idx="0">
                  <c:v>1E-3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</c:numCache>
            </c:numRef>
          </c:cat>
          <c:val>
            <c:numRef>
              <c:f>'OUTPUT SWITCH'!$B$27:$L$27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825</c:v>
                </c:pt>
                <c:pt idx="4">
                  <c:v>1450</c:v>
                </c:pt>
                <c:pt idx="5">
                  <c:v>2075</c:v>
                </c:pt>
                <c:pt idx="6">
                  <c:v>2700</c:v>
                </c:pt>
                <c:pt idx="7">
                  <c:v>3325</c:v>
                </c:pt>
                <c:pt idx="8">
                  <c:v>3950</c:v>
                </c:pt>
                <c:pt idx="9">
                  <c:v>4575</c:v>
                </c:pt>
                <c:pt idx="10">
                  <c:v>5200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4-4A8A-AE1C-3C3CECDD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08432"/>
        <c:axId val="613318272"/>
      </c:lineChart>
      <c:catAx>
        <c:axId val="61330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</a:t>
                </a:r>
                <a:r>
                  <a:rPr lang="en-US" baseline="0"/>
                  <a:t> y, x=30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318272"/>
        <c:crosses val="autoZero"/>
        <c:auto val="1"/>
        <c:lblAlgn val="ctr"/>
        <c:lblOffset val="100"/>
        <c:noMultiLvlLbl val="0"/>
      </c:catAx>
      <c:valAx>
        <c:axId val="6133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30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 &amp; NOMINAL EQUITY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'LEVERAGED EQUITY'!$A$17</c:f>
              <c:strCache>
                <c:ptCount val="1"/>
                <c:pt idx="0">
                  <c:v>REAL EQUITY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'LEVERAGED EQUITY'!$B$3:$J$3</c:f>
              <c:numCache>
                <c:formatCode>0.00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'LEVERAGED EQUITY'!$B$17:$J$17</c:f>
              <c:numCache>
                <c:formatCode>0.00</c:formatCode>
                <c:ptCount val="9"/>
                <c:pt idx="0">
                  <c:v>0</c:v>
                </c:pt>
                <c:pt idx="1">
                  <c:v>6.1464843750000497E-2</c:v>
                </c:pt>
                <c:pt idx="2">
                  <c:v>14.462656250000002</c:v>
                </c:pt>
                <c:pt idx="3">
                  <c:v>36.88268310546875</c:v>
                </c:pt>
                <c:pt idx="4">
                  <c:v>60.963933750000002</c:v>
                </c:pt>
                <c:pt idx="5">
                  <c:v>85.557832031250001</c:v>
                </c:pt>
                <c:pt idx="6">
                  <c:v>110.35128780976676</c:v>
                </c:pt>
                <c:pt idx="7">
                  <c:v>135.23533538818359</c:v>
                </c:pt>
                <c:pt idx="8">
                  <c:v>160.16528356481481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9-42C4-A779-150CC7704FBB}"/>
            </c:ext>
          </c:extLst>
        </c:ser>
        <c:ser>
          <c:idx val="1"/>
          <c:order val="1"/>
          <c:tx>
            <c:strRef>
              <c:f>'LEVERAGED EQUITY'!$A$18</c:f>
              <c:strCache>
                <c:ptCount val="1"/>
                <c:pt idx="0">
                  <c:v>EQUITY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'LEVERAGED EQUITY'!$B$3:$J$3</c:f>
              <c:numCache>
                <c:formatCode>0.00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'LEVERAGED EQUITY'!$B$18:$J$18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9-42C4-A779-150CC770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430712"/>
        <c:axId val="607431040"/>
      </c:lineChart>
      <c:catAx>
        <c:axId val="607430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NOMINAL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31040"/>
        <c:crosses val="autoZero"/>
        <c:auto val="1"/>
        <c:lblAlgn val="ctr"/>
        <c:lblOffset val="100"/>
        <c:noMultiLvlLbl val="0"/>
      </c:catAx>
      <c:valAx>
        <c:axId val="6074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3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13</xdr:col>
      <xdr:colOff>371475</xdr:colOff>
      <xdr:row>22</xdr:row>
      <xdr:rowOff>142875</xdr:rowOff>
    </xdr:to>
    <xdr:graphicFrame macro="">
      <xdr:nvGraphicFramePr>
        <xdr:cNvPr id="13318" name="Chart 2">
          <a:extLst>
            <a:ext uri="{FF2B5EF4-FFF2-40B4-BE49-F238E27FC236}">
              <a16:creationId xmlns:a16="http://schemas.microsoft.com/office/drawing/2014/main" id="{00000000-0008-0000-0100-000006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10</xdr:row>
      <xdr:rowOff>161924</xdr:rowOff>
    </xdr:from>
    <xdr:to>
      <xdr:col>14</xdr:col>
      <xdr:colOff>19050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0399A9-BFD0-4C20-B572-F7570C424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161924</xdr:rowOff>
    </xdr:from>
    <xdr:to>
      <xdr:col>13</xdr:col>
      <xdr:colOff>361950</xdr:colOff>
      <xdr:row>32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81684D-2538-4189-A1A8-1C6244AE2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152400</xdr:rowOff>
    </xdr:from>
    <xdr:to>
      <xdr:col>14</xdr:col>
      <xdr:colOff>9525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9524</xdr:rowOff>
    </xdr:from>
    <xdr:to>
      <xdr:col>14</xdr:col>
      <xdr:colOff>0</xdr:colOff>
      <xdr:row>30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161924</xdr:rowOff>
    </xdr:from>
    <xdr:to>
      <xdr:col>13</xdr:col>
      <xdr:colOff>371476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1F8002-2EB6-4F2E-94D2-40FF52133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152399</xdr:rowOff>
    </xdr:from>
    <xdr:to>
      <xdr:col>14</xdr:col>
      <xdr:colOff>0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FD10C8-BE83-4258-9AA9-2031686D1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161924</xdr:rowOff>
    </xdr:from>
    <xdr:to>
      <xdr:col>13</xdr:col>
      <xdr:colOff>371475</xdr:colOff>
      <xdr:row>32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14</xdr:col>
      <xdr:colOff>0</xdr:colOff>
      <xdr:row>35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26</xdr:col>
      <xdr:colOff>0</xdr:colOff>
      <xdr:row>41</xdr:row>
      <xdr:rowOff>142875</xdr:rowOff>
    </xdr:to>
    <xdr:graphicFrame macro="">
      <xdr:nvGraphicFramePr>
        <xdr:cNvPr id="44037" name="Chart 1">
          <a:extLst>
            <a:ext uri="{FF2B5EF4-FFF2-40B4-BE49-F238E27FC236}">
              <a16:creationId xmlns:a16="http://schemas.microsoft.com/office/drawing/2014/main" id="{00000000-0008-0000-1400-000005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10</xdr:col>
      <xdr:colOff>19050</xdr:colOff>
      <xdr:row>39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13</xdr:col>
      <xdr:colOff>466725</xdr:colOff>
      <xdr:row>24</xdr:row>
      <xdr:rowOff>133350</xdr:rowOff>
    </xdr:to>
    <xdr:graphicFrame macro="">
      <xdr:nvGraphicFramePr>
        <xdr:cNvPr id="14342" name="Chart 2">
          <a:extLst>
            <a:ext uri="{FF2B5EF4-FFF2-40B4-BE49-F238E27FC236}">
              <a16:creationId xmlns:a16="http://schemas.microsoft.com/office/drawing/2014/main" id="{00000000-0008-0000-0200-000006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17</xdr:row>
      <xdr:rowOff>19049</xdr:rowOff>
    </xdr:from>
    <xdr:to>
      <xdr:col>9</xdr:col>
      <xdr:colOff>552449</xdr:colOff>
      <xdr:row>34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142875</xdr:rowOff>
    </xdr:from>
    <xdr:to>
      <xdr:col>9</xdr:col>
      <xdr:colOff>600075</xdr:colOff>
      <xdr:row>48</xdr:row>
      <xdr:rowOff>28575</xdr:rowOff>
    </xdr:to>
    <xdr:graphicFrame macro="">
      <xdr:nvGraphicFramePr>
        <xdr:cNvPr id="26629" name="Chart 1">
          <a:extLst>
            <a:ext uri="{FF2B5EF4-FFF2-40B4-BE49-F238E27FC236}">
              <a16:creationId xmlns:a16="http://schemas.microsoft.com/office/drawing/2014/main" id="{00000000-0008-0000-1800-000005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</xdr:row>
      <xdr:rowOff>9525</xdr:rowOff>
    </xdr:from>
    <xdr:to>
      <xdr:col>11</xdr:col>
      <xdr:colOff>9525</xdr:colOff>
      <xdr:row>45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171450</xdr:rowOff>
    </xdr:from>
    <xdr:to>
      <xdr:col>9</xdr:col>
      <xdr:colOff>600075</xdr:colOff>
      <xdr:row>43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5A35AE-AE9C-4EC0-9711-F11B7A0B03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13</xdr:col>
      <xdr:colOff>590550</xdr:colOff>
      <xdr:row>32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94B124-1B1D-40FA-9919-15EFD4567C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19050</xdr:rowOff>
    </xdr:from>
    <xdr:to>
      <xdr:col>13</xdr:col>
      <xdr:colOff>590550</xdr:colOff>
      <xdr:row>42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A224A8-710F-4E11-8123-32BA4EC7D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14</xdr:col>
      <xdr:colOff>0</xdr:colOff>
      <xdr:row>30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91A495-4179-4BB3-B217-F29B0D47B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8</xdr:col>
      <xdr:colOff>600075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8F7494-9932-4A26-BF96-73DC2F764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9525</xdr:rowOff>
    </xdr:from>
    <xdr:to>
      <xdr:col>8</xdr:col>
      <xdr:colOff>9525</xdr:colOff>
      <xdr:row>47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BA3AB4-2E58-474E-A979-C452214ED0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152400</xdr:rowOff>
    </xdr:from>
    <xdr:to>
      <xdr:col>12</xdr:col>
      <xdr:colOff>28575</xdr:colOff>
      <xdr:row>53</xdr:row>
      <xdr:rowOff>9523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84A63C-5FDF-4322-9EB4-6A37AE5FB2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38100</xdr:rowOff>
    </xdr:from>
    <xdr:to>
      <xdr:col>10</xdr:col>
      <xdr:colOff>47625</xdr:colOff>
      <xdr:row>42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1D7C77-AC48-46C8-AC70-7FD1C4786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CF00/Real_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CF02/RCF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eal%20Value/CH3_RO_PAYOFFS_10_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eal%20Value/REAL%20VALUE%20EXCEL%201_06_EXERCISES_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an/Documents/CH%2010%20B%20NEW%20EQUITY%20STRATEGY%204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IER"/>
      <sheetName val="APPROX_AMER_CALL"/>
    </sheetNames>
    <sheetDataSet>
      <sheetData sheetId="0">
        <row r="5">
          <cell r="B5">
            <v>110</v>
          </cell>
          <cell r="C5">
            <v>110</v>
          </cell>
          <cell r="D5">
            <v>110</v>
          </cell>
          <cell r="E5">
            <v>110</v>
          </cell>
          <cell r="F5">
            <v>110</v>
          </cell>
          <cell r="G5">
            <v>110</v>
          </cell>
          <cell r="H5">
            <v>110</v>
          </cell>
        </row>
        <row r="6">
          <cell r="B6">
            <v>100</v>
          </cell>
          <cell r="C6">
            <v>100</v>
          </cell>
          <cell r="D6">
            <v>100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</row>
        <row r="7">
          <cell r="B7">
            <v>0.5</v>
          </cell>
          <cell r="C7">
            <v>0.5</v>
          </cell>
          <cell r="D7">
            <v>0.5</v>
          </cell>
          <cell r="E7">
            <v>0.5</v>
          </cell>
          <cell r="F7">
            <v>0.5</v>
          </cell>
          <cell r="G7">
            <v>0.5</v>
          </cell>
          <cell r="H7">
            <v>0.5</v>
          </cell>
        </row>
        <row r="8">
          <cell r="B8">
            <v>0.1</v>
          </cell>
          <cell r="C8">
            <v>0.1</v>
          </cell>
          <cell r="D8">
            <v>0.1</v>
          </cell>
          <cell r="E8">
            <v>0.1</v>
          </cell>
          <cell r="F8">
            <v>0.1</v>
          </cell>
          <cell r="G8">
            <v>0.1</v>
          </cell>
          <cell r="H8">
            <v>0.1</v>
          </cell>
        </row>
        <row r="9">
          <cell r="B9">
            <v>0.3</v>
          </cell>
          <cell r="C9">
            <v>0.3</v>
          </cell>
          <cell r="D9">
            <v>0.3</v>
          </cell>
          <cell r="E9">
            <v>0.3</v>
          </cell>
          <cell r="F9">
            <v>0.3</v>
          </cell>
          <cell r="G9">
            <v>0.3</v>
          </cell>
          <cell r="H9">
            <v>0.3</v>
          </cell>
        </row>
        <row r="10">
          <cell r="B10">
            <v>18.046947299962582</v>
          </cell>
          <cell r="C10">
            <v>18.046947299962582</v>
          </cell>
          <cell r="D10">
            <v>18.046947299962582</v>
          </cell>
          <cell r="E10">
            <v>18.046947299962582</v>
          </cell>
          <cell r="F10">
            <v>18.046947299962582</v>
          </cell>
          <cell r="G10">
            <v>18.046947299962582</v>
          </cell>
          <cell r="H10">
            <v>18.046947299962582</v>
          </cell>
        </row>
        <row r="13">
          <cell r="B13">
            <v>6.8144210607164191E-4</v>
          </cell>
          <cell r="C13">
            <v>1.0261741445188099E-2</v>
          </cell>
          <cell r="D13">
            <v>7.6886033707199264E-2</v>
          </cell>
          <cell r="E13">
            <v>0.36481618846633967</v>
          </cell>
          <cell r="F13">
            <v>1.229036620381649</v>
          </cell>
          <cell r="G13">
            <v>3.1704812902501942</v>
          </cell>
          <cell r="H13">
            <v>6.6304345586769244</v>
          </cell>
        </row>
        <row r="14">
          <cell r="B14">
            <v>18.046265857856511</v>
          </cell>
          <cell r="C14">
            <v>18.036685558517394</v>
          </cell>
          <cell r="D14">
            <v>17.970061266255382</v>
          </cell>
          <cell r="E14">
            <v>17.682131111496243</v>
          </cell>
          <cell r="F14">
            <v>16.817910679580933</v>
          </cell>
          <cell r="G14">
            <v>14.876466009712388</v>
          </cell>
          <cell r="H14">
            <v>11.416512741285658</v>
          </cell>
        </row>
        <row r="18">
          <cell r="B18">
            <v>0.78554696959090908</v>
          </cell>
          <cell r="C18">
            <v>0.78554696959090908</v>
          </cell>
          <cell r="D18">
            <v>0.78554696959090908</v>
          </cell>
          <cell r="E18">
            <v>0.78554696959090908</v>
          </cell>
          <cell r="F18">
            <v>0.78554696959090908</v>
          </cell>
          <cell r="G18">
            <v>0.78554696959090908</v>
          </cell>
          <cell r="H18">
            <v>0.78554696959090908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F02_GUIDE"/>
      <sheetName val="HOWELL_Fig2.2"/>
      <sheetName val="GROWTH"/>
      <sheetName val="ONE_STEP"/>
      <sheetName val="SIX_STEP"/>
      <sheetName val="LEASIMO"/>
      <sheetName val="CONSTROI"/>
      <sheetName val="SAMUELSON_MCKEAN"/>
      <sheetName val="CANARYWHARF"/>
      <sheetName val="CW_MODEL"/>
      <sheetName val="FOOT_MERCHANDISE"/>
      <sheetName val="STADIUM_USAGE"/>
      <sheetName val="STADIUM_LEASE"/>
      <sheetName val="PETRO_ROV"/>
      <sheetName val="SGT_POWER_ROV"/>
      <sheetName val="CCGT_POWEREXCH_ROV"/>
    </sheetNames>
    <sheetDataSet>
      <sheetData sheetId="0"/>
      <sheetData sheetId="1"/>
      <sheetData sheetId="2">
        <row r="6">
          <cell r="B6">
            <v>20000</v>
          </cell>
        </row>
        <row r="13">
          <cell r="B13">
            <v>60000</v>
          </cell>
        </row>
        <row r="14">
          <cell r="B14">
            <v>2</v>
          </cell>
        </row>
        <row r="15">
          <cell r="B15">
            <v>0.15</v>
          </cell>
        </row>
        <row r="22">
          <cell r="B22">
            <v>0.66297760844208942</v>
          </cell>
        </row>
        <row r="23">
          <cell r="B23">
            <v>0.17802976954183658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ging"/>
      <sheetName val="Strategy1"/>
      <sheetName val="Strategy2"/>
      <sheetName val="Strategy3"/>
      <sheetName val="Strategy4"/>
      <sheetName val="Strategy5"/>
      <sheetName val="CITY_SHARING"/>
      <sheetName val="SALFORD_TRI_CHANGE"/>
      <sheetName val="MARIA_EXERCISE2A"/>
    </sheetNames>
    <sheetDataSet>
      <sheetData sheetId="0">
        <row r="2">
          <cell r="A2" t="str">
            <v>OWN ASSET-DEBT</v>
          </cell>
        </row>
      </sheetData>
      <sheetData sheetId="1">
        <row r="2">
          <cell r="A2" t="str">
            <v>OWN ASSET-DEBT</v>
          </cell>
        </row>
      </sheetData>
      <sheetData sheetId="2">
        <row r="2">
          <cell r="B2">
            <v>-150</v>
          </cell>
        </row>
      </sheetData>
      <sheetData sheetId="3">
        <row r="2">
          <cell r="A2" t="str">
            <v>OWN ASSET-DEBT</v>
          </cell>
        </row>
      </sheetData>
      <sheetData sheetId="4">
        <row r="2">
          <cell r="B2">
            <v>-150</v>
          </cell>
        </row>
      </sheetData>
      <sheetData sheetId="5"/>
      <sheetData sheetId="6">
        <row r="9">
          <cell r="B9">
            <v>0</v>
          </cell>
          <cell r="C9">
            <v>2000</v>
          </cell>
          <cell r="D9">
            <v>4000</v>
          </cell>
          <cell r="E9">
            <v>6000</v>
          </cell>
          <cell r="F9">
            <v>8000</v>
          </cell>
          <cell r="G9">
            <v>10000</v>
          </cell>
          <cell r="H9">
            <v>12000</v>
          </cell>
          <cell r="I9">
            <v>14000</v>
          </cell>
          <cell r="J9">
            <v>16000</v>
          </cell>
          <cell r="K9">
            <v>18000</v>
          </cell>
          <cell r="L9">
            <v>20000</v>
          </cell>
          <cell r="M9">
            <v>22000</v>
          </cell>
          <cell r="N9">
            <v>24000</v>
          </cell>
          <cell r="O9">
            <v>26000</v>
          </cell>
          <cell r="P9">
            <v>28000</v>
          </cell>
          <cell r="Q9">
            <v>30000</v>
          </cell>
          <cell r="R9">
            <v>32000</v>
          </cell>
          <cell r="S9">
            <v>34000</v>
          </cell>
          <cell r="T9">
            <v>36000</v>
          </cell>
          <cell r="U9">
            <v>38000</v>
          </cell>
          <cell r="V9">
            <v>40000</v>
          </cell>
          <cell r="W9">
            <v>42000</v>
          </cell>
          <cell r="X9">
            <v>44000</v>
          </cell>
          <cell r="Y9">
            <v>46000</v>
          </cell>
          <cell r="Z9">
            <v>48000</v>
          </cell>
        </row>
        <row r="11">
          <cell r="A11" t="str">
            <v>MAN CITY</v>
          </cell>
          <cell r="B11">
            <v>-68000</v>
          </cell>
          <cell r="C11">
            <v>-28000</v>
          </cell>
          <cell r="D11">
            <v>12000</v>
          </cell>
          <cell r="E11">
            <v>52000</v>
          </cell>
          <cell r="F11">
            <v>92000</v>
          </cell>
          <cell r="G11">
            <v>132000</v>
          </cell>
          <cell r="H11">
            <v>172000</v>
          </cell>
          <cell r="I11">
            <v>212000</v>
          </cell>
          <cell r="J11">
            <v>252000</v>
          </cell>
          <cell r="K11">
            <v>292000</v>
          </cell>
          <cell r="L11">
            <v>332000</v>
          </cell>
          <cell r="M11">
            <v>372000</v>
          </cell>
          <cell r="N11">
            <v>412000</v>
          </cell>
          <cell r="O11">
            <v>452000</v>
          </cell>
          <cell r="P11">
            <v>492000</v>
          </cell>
          <cell r="Q11">
            <v>532000</v>
          </cell>
          <cell r="R11">
            <v>572000</v>
          </cell>
          <cell r="S11">
            <v>612000</v>
          </cell>
          <cell r="T11">
            <v>652000</v>
          </cell>
          <cell r="U11">
            <v>692000</v>
          </cell>
          <cell r="V11">
            <v>732000</v>
          </cell>
          <cell r="W11">
            <v>772000</v>
          </cell>
          <cell r="X11">
            <v>812000</v>
          </cell>
          <cell r="Y11">
            <v>852000</v>
          </cell>
          <cell r="Z11">
            <v>892000</v>
          </cell>
        </row>
        <row r="12">
          <cell r="A12" t="str">
            <v>COUNCIL</v>
          </cell>
          <cell r="B12">
            <v>68000</v>
          </cell>
          <cell r="C12">
            <v>68000</v>
          </cell>
          <cell r="D12">
            <v>68000</v>
          </cell>
          <cell r="E12">
            <v>68000</v>
          </cell>
          <cell r="F12">
            <v>68000</v>
          </cell>
          <cell r="G12">
            <v>68000</v>
          </cell>
          <cell r="H12">
            <v>68000</v>
          </cell>
          <cell r="I12">
            <v>68000</v>
          </cell>
          <cell r="J12">
            <v>68000</v>
          </cell>
          <cell r="K12">
            <v>68000</v>
          </cell>
          <cell r="L12">
            <v>68000</v>
          </cell>
          <cell r="M12">
            <v>68000</v>
          </cell>
          <cell r="N12">
            <v>68000</v>
          </cell>
          <cell r="O12">
            <v>68000</v>
          </cell>
          <cell r="P12">
            <v>68000</v>
          </cell>
          <cell r="Q12">
            <v>68000</v>
          </cell>
          <cell r="R12">
            <v>68000</v>
          </cell>
          <cell r="S12">
            <v>68000</v>
          </cell>
          <cell r="T12">
            <v>68000</v>
          </cell>
          <cell r="U12">
            <v>68000</v>
          </cell>
          <cell r="V12">
            <v>68000</v>
          </cell>
          <cell r="W12">
            <v>68000</v>
          </cell>
          <cell r="X12">
            <v>68000</v>
          </cell>
          <cell r="Y12">
            <v>68000</v>
          </cell>
          <cell r="Z12">
            <v>68000</v>
          </cell>
        </row>
        <row r="13">
          <cell r="A13" t="str">
            <v>MAN CITY(-)</v>
          </cell>
          <cell r="B13">
            <v>0</v>
          </cell>
          <cell r="C13">
            <v>40000</v>
          </cell>
          <cell r="D13">
            <v>80000</v>
          </cell>
          <cell r="E13">
            <v>120000</v>
          </cell>
          <cell r="F13">
            <v>160000</v>
          </cell>
          <cell r="G13">
            <v>200000</v>
          </cell>
          <cell r="H13">
            <v>240000</v>
          </cell>
          <cell r="I13">
            <v>280000</v>
          </cell>
          <cell r="J13">
            <v>320000</v>
          </cell>
          <cell r="K13">
            <v>360000</v>
          </cell>
          <cell r="L13">
            <v>400000</v>
          </cell>
          <cell r="M13">
            <v>440000</v>
          </cell>
          <cell r="N13">
            <v>480000</v>
          </cell>
          <cell r="O13">
            <v>520000</v>
          </cell>
          <cell r="P13">
            <v>560000</v>
          </cell>
          <cell r="Q13">
            <v>600000</v>
          </cell>
          <cell r="R13">
            <v>640000</v>
          </cell>
          <cell r="S13">
            <v>408000</v>
          </cell>
          <cell r="T13">
            <v>432000</v>
          </cell>
          <cell r="U13">
            <v>456000</v>
          </cell>
          <cell r="V13">
            <v>480000</v>
          </cell>
          <cell r="W13">
            <v>504000</v>
          </cell>
          <cell r="X13">
            <v>528000</v>
          </cell>
          <cell r="Y13">
            <v>552000</v>
          </cell>
          <cell r="Z13">
            <v>576000</v>
          </cell>
        </row>
        <row r="14">
          <cell r="A14" t="str">
            <v>COUNCIL(+)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272000</v>
          </cell>
          <cell r="T14">
            <v>288000</v>
          </cell>
          <cell r="U14">
            <v>304000</v>
          </cell>
          <cell r="V14">
            <v>320000</v>
          </cell>
          <cell r="W14">
            <v>336000</v>
          </cell>
          <cell r="X14">
            <v>352000</v>
          </cell>
          <cell r="Y14">
            <v>368000</v>
          </cell>
          <cell r="Z14">
            <v>384000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REAL VALUE EXERCISES"/>
      <sheetName val="BINOMIAL_CALL"/>
      <sheetName val="BINOMIAL_PUT"/>
      <sheetName val="BINOMIAL_CALL_PUT"/>
      <sheetName val="CALLl_TIME"/>
      <sheetName val="CALL_VOLATILITY"/>
      <sheetName val="BLACK_SCHOLES"/>
      <sheetName val="DEFERRAL"/>
      <sheetName val="GROWTH"/>
      <sheetName val="EXCHANGE"/>
      <sheetName val="HEDGING1"/>
      <sheetName val="STRATEGY1"/>
      <sheetName val="STRATEGY2"/>
      <sheetName val="STRATEGY3"/>
      <sheetName val="STRATEGY4"/>
      <sheetName val="STRATEGY5"/>
      <sheetName val="SHARING"/>
      <sheetName val="SAMUELSON1"/>
      <sheetName val="SAMUELSON2"/>
      <sheetName val="VOLATILITY"/>
      <sheetName val="DELTA, GAMMA"/>
      <sheetName val="AMER_PERP"/>
      <sheetName val="HEDGING"/>
      <sheetName val="AM_PERP_MF"/>
      <sheetName val="AM_PERP_MF_Q"/>
      <sheetName val="AM_PERP_MF_CORR"/>
      <sheetName val="AM_PERP_EXCH"/>
      <sheetName val="AM_PERP_EXCH_CORR"/>
      <sheetName val="MARSHALL_INVEST"/>
      <sheetName val="MARSHALL_SENSE"/>
      <sheetName val="ENTRY_EXIT"/>
      <sheetName val="ComOption1"/>
      <sheetName val="ComOption2"/>
      <sheetName val="ComOption3"/>
      <sheetName val="Exercise 2.1"/>
      <sheetName val="Exercise 2.2"/>
      <sheetName val="Exercise 2.3"/>
      <sheetName val="Problem 2.4"/>
      <sheetName val="Problem 2.5"/>
      <sheetName val="Problem 2.6"/>
      <sheetName val="Exercise 3.1"/>
      <sheetName val="Exercise 3.2"/>
      <sheetName val="Exercise 3.3"/>
      <sheetName val="Problem 3.4"/>
      <sheetName val="Problem 3.5"/>
      <sheetName val="Problem 3.6"/>
      <sheetName val="Exercise 4.1"/>
      <sheetName val="Exercise 4.2"/>
      <sheetName val="Exercise 4.3"/>
      <sheetName val="Problem 4.4"/>
      <sheetName val="Problem 4.5"/>
      <sheetName val="Problem 4.6"/>
      <sheetName val="Exercise 5.1"/>
      <sheetName val="Exercise 5.2"/>
      <sheetName val="Exercise 5.3"/>
      <sheetName val="Problem 5.4"/>
      <sheetName val="Problem 5.5"/>
      <sheetName val="Problem 5.6"/>
      <sheetName val="QUIGG"/>
      <sheetName val="CASE1"/>
      <sheetName val="CASE2"/>
      <sheetName val="CASE4"/>
      <sheetName val="CASE6"/>
    </sheetNames>
    <sheetDataSet>
      <sheetData sheetId="0"/>
      <sheetData sheetId="1"/>
      <sheetData sheetId="2"/>
      <sheetData sheetId="3"/>
      <sheetData sheetId="4">
        <row r="5">
          <cell r="B5">
            <v>0.5</v>
          </cell>
        </row>
      </sheetData>
      <sheetData sheetId="5">
        <row r="4">
          <cell r="B4">
            <v>0.05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0</v>
          </cell>
        </row>
      </sheetData>
      <sheetData sheetId="19">
        <row r="7">
          <cell r="B7">
            <v>0.05</v>
          </cell>
        </row>
      </sheetData>
      <sheetData sheetId="20">
        <row r="8">
          <cell r="B8">
            <v>0.02</v>
          </cell>
          <cell r="C8">
            <v>2.5000000000000001E-2</v>
          </cell>
          <cell r="D8">
            <v>3.0000000000000002E-2</v>
          </cell>
          <cell r="E8">
            <v>3.5000000000000003E-2</v>
          </cell>
          <cell r="F8">
            <v>0.04</v>
          </cell>
          <cell r="G8">
            <v>4.4999999999999998E-2</v>
          </cell>
          <cell r="H8">
            <v>4.9999999999999996E-2</v>
          </cell>
          <cell r="I8">
            <v>5.4999999999999993E-2</v>
          </cell>
          <cell r="J8">
            <v>5.9999999999999991E-2</v>
          </cell>
        </row>
        <row r="24">
          <cell r="A24" t="str">
            <v>ROV</v>
          </cell>
          <cell r="B24">
            <v>0.19442768285708267</v>
          </cell>
          <cell r="C24">
            <v>0.2077116735186976</v>
          </cell>
          <cell r="D24">
            <v>0.22148883734991726</v>
          </cell>
          <cell r="E24">
            <v>0.23562979124734945</v>
          </cell>
          <cell r="F24">
            <v>0.25000000000000006</v>
          </cell>
          <cell r="G24">
            <v>0.26446883388207576</v>
          </cell>
          <cell r="H24">
            <v>0.27891679653772417</v>
          </cell>
          <cell r="I24">
            <v>0.29324023055242654</v>
          </cell>
          <cell r="J24">
            <v>0.30735350239315212</v>
          </cell>
        </row>
        <row r="25">
          <cell r="A25" t="str">
            <v>ROV D</v>
          </cell>
          <cell r="B25">
            <v>0.46938994885434387</v>
          </cell>
          <cell r="C25">
            <v>0.47664160339522865</v>
          </cell>
          <cell r="D25">
            <v>0.48420575342880573</v>
          </cell>
          <cell r="E25">
            <v>0.49201561910156022</v>
          </cell>
          <cell r="F25">
            <v>0.5</v>
          </cell>
          <cell r="G25">
            <v>0.5080881639981768</v>
          </cell>
          <cell r="H25">
            <v>0.51621392416888801</v>
          </cell>
          <cell r="I25">
            <v>0.52431846950067373</v>
          </cell>
          <cell r="J25">
            <v>0.53235188202918193</v>
          </cell>
        </row>
        <row r="26">
          <cell r="A26" t="str">
            <v>ROV G</v>
          </cell>
          <cell r="B26">
            <v>0.66381763171142649</v>
          </cell>
          <cell r="C26">
            <v>0.61712079444479317</v>
          </cell>
          <cell r="D26">
            <v>0.57433613273927842</v>
          </cell>
          <cell r="E26">
            <v>0.53535603945825139</v>
          </cell>
          <cell r="F26">
            <v>0.49999999999999989</v>
          </cell>
          <cell r="G26">
            <v>0.46803283523512618</v>
          </cell>
          <cell r="H26">
            <v>0.4391850292598663</v>
          </cell>
          <cell r="I26">
            <v>0.41317178189366754</v>
          </cell>
          <cell r="J26">
            <v>0.38970862515027427</v>
          </cell>
        </row>
      </sheetData>
      <sheetData sheetId="21"/>
      <sheetData sheetId="22"/>
      <sheetData sheetId="23"/>
      <sheetData sheetId="24">
        <row r="4">
          <cell r="B4">
            <v>0</v>
          </cell>
        </row>
      </sheetData>
      <sheetData sheetId="25">
        <row r="9">
          <cell r="B9">
            <v>-0.8</v>
          </cell>
        </row>
      </sheetData>
      <sheetData sheetId="26"/>
      <sheetData sheetId="27">
        <row r="9">
          <cell r="B9">
            <v>-1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"/>
      <sheetName val="BaseCase"/>
      <sheetName val="Change V"/>
      <sheetName val="Change Vol"/>
      <sheetName val="Change yield"/>
      <sheetName val="Equity 1"/>
      <sheetName val="Equity 2"/>
      <sheetName val=" Equity 3"/>
    </sheetNames>
    <sheetDataSet>
      <sheetData sheetId="0">
        <row r="5">
          <cell r="B5">
            <v>2</v>
          </cell>
        </row>
        <row r="7">
          <cell r="B7">
            <v>0.04</v>
          </cell>
        </row>
        <row r="9">
          <cell r="B9">
            <v>0.2</v>
          </cell>
        </row>
        <row r="10">
          <cell r="B10">
            <v>0.5</v>
          </cell>
        </row>
        <row r="11">
          <cell r="B11">
            <v>0</v>
          </cell>
        </row>
        <row r="12">
          <cell r="B12">
            <v>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topLeftCell="A20" zoomScaleNormal="100" workbookViewId="0">
      <selection activeCell="B40" sqref="B40"/>
    </sheetView>
  </sheetViews>
  <sheetFormatPr defaultRowHeight="12.75"/>
  <cols>
    <col min="1" max="1" width="10.28515625" bestFit="1" customWidth="1"/>
    <col min="3" max="3" width="33.42578125" customWidth="1"/>
  </cols>
  <sheetData>
    <row r="1" spans="1:9" ht="15.75">
      <c r="A1" s="48" t="s">
        <v>289</v>
      </c>
      <c r="B1" s="48"/>
      <c r="C1" s="48"/>
      <c r="D1" s="15"/>
      <c r="E1" s="15"/>
      <c r="F1" s="15"/>
      <c r="G1" s="15"/>
      <c r="H1" s="15"/>
      <c r="I1" s="15"/>
    </row>
    <row r="2" spans="1:9">
      <c r="A2" s="79" t="s">
        <v>188</v>
      </c>
      <c r="B2" t="s">
        <v>133</v>
      </c>
      <c r="C2" s="16" t="s">
        <v>153</v>
      </c>
      <c r="D2" s="12" t="s">
        <v>208</v>
      </c>
    </row>
    <row r="3" spans="1:9">
      <c r="A3" s="79"/>
      <c r="B3" s="49">
        <v>1.1000000000000001</v>
      </c>
      <c r="C3" t="s">
        <v>154</v>
      </c>
      <c r="D3" t="s">
        <v>175</v>
      </c>
    </row>
    <row r="4" spans="1:9">
      <c r="A4" s="79"/>
      <c r="B4" s="49">
        <v>1.2</v>
      </c>
      <c r="C4" t="s">
        <v>155</v>
      </c>
      <c r="D4" t="s">
        <v>176</v>
      </c>
    </row>
    <row r="5" spans="1:9">
      <c r="A5" s="79"/>
      <c r="B5" s="49">
        <v>1.3</v>
      </c>
      <c r="C5" t="s">
        <v>309</v>
      </c>
      <c r="D5" t="s">
        <v>311</v>
      </c>
    </row>
    <row r="6" spans="1:9">
      <c r="A6" s="79"/>
      <c r="B6" s="49">
        <v>1.4</v>
      </c>
      <c r="C6" t="s">
        <v>310</v>
      </c>
      <c r="D6" t="s">
        <v>312</v>
      </c>
    </row>
    <row r="7" spans="1:9">
      <c r="A7" s="79" t="s">
        <v>140</v>
      </c>
      <c r="B7" s="49"/>
      <c r="C7" s="16" t="s">
        <v>156</v>
      </c>
      <c r="D7" s="12" t="s">
        <v>206</v>
      </c>
    </row>
    <row r="8" spans="1:9">
      <c r="A8" s="79"/>
      <c r="B8" s="49">
        <v>2.1</v>
      </c>
      <c r="C8" s="17" t="s">
        <v>318</v>
      </c>
      <c r="D8" s="17" t="s">
        <v>313</v>
      </c>
    </row>
    <row r="9" spans="1:9">
      <c r="A9" s="79"/>
      <c r="B9" s="49">
        <v>2.1</v>
      </c>
      <c r="C9" s="17" t="s">
        <v>314</v>
      </c>
      <c r="D9" s="17" t="s">
        <v>394</v>
      </c>
    </row>
    <row r="10" spans="1:9">
      <c r="A10" s="79"/>
      <c r="B10" s="49">
        <v>2.2000000000000002</v>
      </c>
      <c r="C10" s="17" t="s">
        <v>314</v>
      </c>
      <c r="D10" t="s">
        <v>369</v>
      </c>
    </row>
    <row r="11" spans="1:9">
      <c r="A11" s="79"/>
      <c r="B11" s="49">
        <v>2.2999999999999998</v>
      </c>
      <c r="C11" s="17" t="s">
        <v>315</v>
      </c>
      <c r="D11" t="s">
        <v>370</v>
      </c>
    </row>
    <row r="12" spans="1:9">
      <c r="A12" s="79"/>
      <c r="B12" s="49">
        <v>2.4</v>
      </c>
      <c r="C12" s="17" t="s">
        <v>316</v>
      </c>
      <c r="D12" s="57" t="s">
        <v>371</v>
      </c>
    </row>
    <row r="13" spans="1:9">
      <c r="A13" s="79"/>
      <c r="B13" s="49">
        <v>2.5</v>
      </c>
      <c r="C13" t="s">
        <v>317</v>
      </c>
      <c r="D13" s="57" t="s">
        <v>373</v>
      </c>
    </row>
    <row r="14" spans="1:9">
      <c r="A14" s="79" t="s">
        <v>189</v>
      </c>
      <c r="B14" s="49"/>
      <c r="C14" s="16" t="s">
        <v>157</v>
      </c>
      <c r="D14" s="12" t="s">
        <v>207</v>
      </c>
    </row>
    <row r="15" spans="1:9">
      <c r="A15" s="79"/>
      <c r="B15" s="49">
        <v>3.1</v>
      </c>
      <c r="C15" t="s">
        <v>158</v>
      </c>
      <c r="D15" s="7" t="s">
        <v>159</v>
      </c>
    </row>
    <row r="16" spans="1:9">
      <c r="A16" s="79"/>
      <c r="B16" s="49">
        <v>3.2</v>
      </c>
      <c r="C16" t="s">
        <v>160</v>
      </c>
      <c r="D16" s="7" t="s">
        <v>161</v>
      </c>
    </row>
    <row r="17" spans="1:4">
      <c r="A17" s="79"/>
      <c r="B17" s="49">
        <v>3.3</v>
      </c>
      <c r="C17" t="s">
        <v>162</v>
      </c>
      <c r="D17" s="7" t="s">
        <v>163</v>
      </c>
    </row>
    <row r="18" spans="1:4">
      <c r="A18" s="79"/>
      <c r="B18" s="49">
        <v>3.4</v>
      </c>
      <c r="C18" t="s">
        <v>164</v>
      </c>
      <c r="D18" s="7" t="s">
        <v>165</v>
      </c>
    </row>
    <row r="19" spans="1:4">
      <c r="A19" s="79"/>
      <c r="B19" s="49">
        <v>3.5</v>
      </c>
      <c r="C19" t="s">
        <v>166</v>
      </c>
      <c r="D19" s="7" t="s">
        <v>167</v>
      </c>
    </row>
    <row r="20" spans="1:4">
      <c r="A20" s="79"/>
      <c r="B20" s="49">
        <v>3.6</v>
      </c>
      <c r="C20" t="s">
        <v>168</v>
      </c>
      <c r="D20" s="7" t="s">
        <v>169</v>
      </c>
    </row>
    <row r="21" spans="1:4">
      <c r="A21" s="79"/>
      <c r="B21" s="49">
        <v>3.7</v>
      </c>
      <c r="C21" s="17" t="s">
        <v>200</v>
      </c>
      <c r="D21" s="7" t="s">
        <v>199</v>
      </c>
    </row>
    <row r="22" spans="1:4">
      <c r="A22" s="79"/>
      <c r="B22" s="49">
        <v>3.8</v>
      </c>
      <c r="C22" s="17" t="s">
        <v>201</v>
      </c>
      <c r="D22" s="57" t="s">
        <v>202</v>
      </c>
    </row>
    <row r="23" spans="1:4">
      <c r="A23" s="79"/>
      <c r="B23" s="49">
        <v>3.9</v>
      </c>
      <c r="C23" t="s">
        <v>170</v>
      </c>
      <c r="D23" t="s">
        <v>177</v>
      </c>
    </row>
    <row r="24" spans="1:4">
      <c r="A24" s="79" t="s">
        <v>250</v>
      </c>
      <c r="B24" s="49"/>
      <c r="C24" s="16" t="s">
        <v>171</v>
      </c>
      <c r="D24" s="13" t="s">
        <v>251</v>
      </c>
    </row>
    <row r="25" spans="1:4">
      <c r="A25" s="79"/>
      <c r="B25" s="49">
        <v>4.0999999999999996</v>
      </c>
      <c r="C25" t="s">
        <v>172</v>
      </c>
      <c r="D25" s="57" t="s">
        <v>265</v>
      </c>
    </row>
    <row r="26" spans="1:4">
      <c r="A26" s="79"/>
      <c r="B26" s="49">
        <v>4.2</v>
      </c>
      <c r="C26" t="s">
        <v>173</v>
      </c>
      <c r="D26" t="str">
        <f>D25</f>
        <v>American Perpetual Call Option</v>
      </c>
    </row>
    <row r="27" spans="1:4">
      <c r="A27" s="79"/>
      <c r="B27" s="49">
        <v>4.3</v>
      </c>
      <c r="C27" t="s">
        <v>149</v>
      </c>
      <c r="D27" t="s">
        <v>178</v>
      </c>
    </row>
    <row r="28" spans="1:4">
      <c r="A28" s="79"/>
      <c r="B28" s="49">
        <v>4.4000000000000004</v>
      </c>
      <c r="C28" t="s">
        <v>174</v>
      </c>
      <c r="D28" t="s">
        <v>179</v>
      </c>
    </row>
    <row r="29" spans="1:4">
      <c r="A29" s="79"/>
      <c r="B29" s="49">
        <v>4.5</v>
      </c>
      <c r="C29" t="s">
        <v>180</v>
      </c>
      <c r="D29" s="17" t="s">
        <v>252</v>
      </c>
    </row>
    <row r="30" spans="1:4">
      <c r="A30" s="79"/>
      <c r="B30" s="49">
        <v>4.5999999999999996</v>
      </c>
      <c r="C30" s="17" t="s">
        <v>264</v>
      </c>
      <c r="D30" s="57" t="s">
        <v>372</v>
      </c>
    </row>
    <row r="31" spans="1:4">
      <c r="A31" s="79" t="s">
        <v>291</v>
      </c>
      <c r="B31" s="49"/>
      <c r="C31" s="12" t="s">
        <v>420</v>
      </c>
      <c r="D31" s="13" t="s">
        <v>292</v>
      </c>
    </row>
    <row r="32" spans="1:4">
      <c r="A32" s="79" t="s">
        <v>410</v>
      </c>
      <c r="B32" s="49"/>
      <c r="C32" s="12" t="s">
        <v>421</v>
      </c>
      <c r="D32" s="13" t="s">
        <v>413</v>
      </c>
    </row>
    <row r="33" spans="1:4">
      <c r="A33" s="79" t="s">
        <v>411</v>
      </c>
      <c r="B33" s="49"/>
      <c r="C33" s="12" t="s">
        <v>412</v>
      </c>
      <c r="D33" s="13" t="s">
        <v>414</v>
      </c>
    </row>
    <row r="34" spans="1:4">
      <c r="A34" s="79"/>
      <c r="B34" s="49">
        <v>10.1</v>
      </c>
      <c r="C34" s="17" t="s">
        <v>419</v>
      </c>
      <c r="D34" s="13"/>
    </row>
    <row r="35" spans="1:4">
      <c r="A35" s="79"/>
      <c r="B35" s="49">
        <v>10.199999999999999</v>
      </c>
      <c r="C35" s="17" t="s">
        <v>416</v>
      </c>
      <c r="D35" s="13"/>
    </row>
    <row r="36" spans="1:4">
      <c r="A36" s="79"/>
      <c r="B36" s="49">
        <v>10.3</v>
      </c>
      <c r="C36" s="17" t="s">
        <v>450</v>
      </c>
      <c r="D36" s="13"/>
    </row>
    <row r="37" spans="1:4">
      <c r="A37" s="79"/>
      <c r="B37" s="49">
        <v>10.4</v>
      </c>
      <c r="C37" s="17" t="s">
        <v>417</v>
      </c>
      <c r="D37" s="13"/>
    </row>
    <row r="38" spans="1:4">
      <c r="A38" s="79"/>
      <c r="B38" s="49">
        <v>10.5</v>
      </c>
      <c r="C38" s="17" t="s">
        <v>418</v>
      </c>
      <c r="D38" s="13"/>
    </row>
    <row r="39" spans="1:4">
      <c r="A39" s="79"/>
      <c r="B39" s="49">
        <v>10.6</v>
      </c>
      <c r="C39" s="17" t="s">
        <v>451</v>
      </c>
      <c r="D39" s="13"/>
    </row>
    <row r="40" spans="1:4">
      <c r="A40" s="79"/>
      <c r="B40" s="49">
        <v>10.7</v>
      </c>
      <c r="C40" s="17" t="s">
        <v>452</v>
      </c>
      <c r="D40" s="13"/>
    </row>
    <row r="41" spans="1:4">
      <c r="A41" s="79"/>
      <c r="B41" s="49"/>
      <c r="C41" s="12" t="s">
        <v>422</v>
      </c>
      <c r="D41" s="13"/>
    </row>
    <row r="42" spans="1:4">
      <c r="A42" s="17"/>
      <c r="B42" s="49"/>
      <c r="C42" s="12" t="s">
        <v>415</v>
      </c>
      <c r="D42" s="17"/>
    </row>
    <row r="43" spans="1:4">
      <c r="A43" s="17" t="s">
        <v>290</v>
      </c>
    </row>
    <row r="45" spans="1:4">
      <c r="C45" s="17" t="s">
        <v>140</v>
      </c>
    </row>
  </sheetData>
  <customSheetViews>
    <customSheetView guid="{5EBE86A6-E484-4409-9173-9C7E8878B5E9}" showRuler="0">
      <selection activeCell="F3" sqref="F3"/>
      <pageMargins left="0.74803149606299213" right="0.74803149606299213" top="0.49" bottom="0.12" header="0.51181102362204722" footer="0.26"/>
      <printOptions horizontalCentered="1" verticalCentered="1"/>
      <pageSetup paperSize="9" scale="80" orientation="portrait" horizontalDpi="0" verticalDpi="0" r:id="rId1"/>
      <headerFooter alignWithMargins="0"/>
    </customSheetView>
  </customSheetViews>
  <phoneticPr fontId="8" type="noConversion"/>
  <printOptions horizontalCentered="1" verticalCentered="1"/>
  <pageMargins left="0.74803149606299202" right="0.74803149606299202" top="0.28000000000000003" bottom="0.118110236220472" header="0.21" footer="0.27559055118110198"/>
  <pageSetup paperSize="9" scale="81" orientation="portrait" horizontalDpi="4294967293" verticalDpi="4294967293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60F8-8399-4CFB-8820-FB6B083FDA0C}">
  <sheetPr>
    <pageSetUpPr fitToPage="1"/>
  </sheetPr>
  <dimension ref="A1:L63"/>
  <sheetViews>
    <sheetView topLeftCell="A40" workbookViewId="0">
      <selection activeCell="L1" sqref="A1:L63"/>
    </sheetView>
  </sheetViews>
  <sheetFormatPr defaultRowHeight="12.75"/>
  <sheetData>
    <row r="1" spans="1:12" ht="15">
      <c r="A1" s="17" t="s">
        <v>333</v>
      </c>
    </row>
    <row r="2" spans="1:12">
      <c r="A2" t="s">
        <v>7</v>
      </c>
    </row>
    <row r="3" spans="1:12">
      <c r="A3" t="s">
        <v>139</v>
      </c>
      <c r="B3" s="66">
        <f>B54</f>
        <v>100</v>
      </c>
      <c r="C3" s="66">
        <f>B3</f>
        <v>100</v>
      </c>
      <c r="D3" s="66">
        <f t="shared" ref="D3:L3" si="0">C3</f>
        <v>100</v>
      </c>
      <c r="E3" s="66">
        <f t="shared" si="0"/>
        <v>100</v>
      </c>
      <c r="F3" s="66">
        <f t="shared" si="0"/>
        <v>100</v>
      </c>
      <c r="G3" s="66">
        <f t="shared" si="0"/>
        <v>100</v>
      </c>
      <c r="H3" s="66">
        <f t="shared" si="0"/>
        <v>100</v>
      </c>
      <c r="I3" s="66">
        <f t="shared" si="0"/>
        <v>100</v>
      </c>
      <c r="J3" s="66">
        <f t="shared" si="0"/>
        <v>100</v>
      </c>
      <c r="K3" s="66">
        <f t="shared" si="0"/>
        <v>100</v>
      </c>
      <c r="L3" s="66">
        <f t="shared" si="0"/>
        <v>100</v>
      </c>
    </row>
    <row r="4" spans="1:12">
      <c r="A4" t="s">
        <v>203</v>
      </c>
      <c r="B4" s="65">
        <v>1E-3</v>
      </c>
      <c r="C4" s="66">
        <f>25</f>
        <v>25</v>
      </c>
      <c r="D4" s="66">
        <f t="shared" ref="D4:L4" si="1">C4+25</f>
        <v>50</v>
      </c>
      <c r="E4" s="66">
        <f t="shared" si="1"/>
        <v>75</v>
      </c>
      <c r="F4" s="66">
        <f t="shared" si="1"/>
        <v>100</v>
      </c>
      <c r="G4" s="66">
        <f t="shared" si="1"/>
        <v>125</v>
      </c>
      <c r="H4" s="66">
        <f t="shared" si="1"/>
        <v>150</v>
      </c>
      <c r="I4" s="66">
        <f t="shared" si="1"/>
        <v>175</v>
      </c>
      <c r="J4" s="66">
        <f t="shared" si="1"/>
        <v>200</v>
      </c>
      <c r="K4" s="66">
        <f t="shared" si="1"/>
        <v>225</v>
      </c>
      <c r="L4" s="66">
        <f t="shared" si="1"/>
        <v>250</v>
      </c>
    </row>
    <row r="5" spans="1:12">
      <c r="A5" s="106" t="s">
        <v>352</v>
      </c>
      <c r="B5" s="99">
        <f>B56</f>
        <v>0.04</v>
      </c>
      <c r="C5" s="66">
        <f t="shared" ref="C5:L13" si="2">B5</f>
        <v>0.04</v>
      </c>
      <c r="D5" s="66">
        <f t="shared" si="2"/>
        <v>0.04</v>
      </c>
      <c r="E5" s="66">
        <f t="shared" si="2"/>
        <v>0.04</v>
      </c>
      <c r="F5" s="66">
        <f t="shared" si="2"/>
        <v>0.04</v>
      </c>
      <c r="G5" s="66">
        <f t="shared" si="2"/>
        <v>0.04</v>
      </c>
      <c r="H5" s="66">
        <f t="shared" si="2"/>
        <v>0.04</v>
      </c>
      <c r="I5" s="66">
        <f t="shared" si="2"/>
        <v>0.04</v>
      </c>
      <c r="J5" s="66">
        <f t="shared" si="2"/>
        <v>0.04</v>
      </c>
      <c r="K5" s="66">
        <f t="shared" si="2"/>
        <v>0.04</v>
      </c>
      <c r="L5" s="66">
        <f t="shared" si="2"/>
        <v>0.04</v>
      </c>
    </row>
    <row r="6" spans="1:12">
      <c r="A6" s="106" t="s">
        <v>353</v>
      </c>
      <c r="B6" s="99">
        <f>B57</f>
        <v>0.04</v>
      </c>
      <c r="C6" s="66">
        <f t="shared" si="2"/>
        <v>0.04</v>
      </c>
      <c r="D6" s="66">
        <f t="shared" si="2"/>
        <v>0.04</v>
      </c>
      <c r="E6" s="66">
        <f t="shared" si="2"/>
        <v>0.04</v>
      </c>
      <c r="F6" s="66">
        <f t="shared" si="2"/>
        <v>0.04</v>
      </c>
      <c r="G6" s="66">
        <f t="shared" si="2"/>
        <v>0.04</v>
      </c>
      <c r="H6" s="66">
        <f t="shared" si="2"/>
        <v>0.04</v>
      </c>
      <c r="I6" s="66">
        <f t="shared" si="2"/>
        <v>0.04</v>
      </c>
      <c r="J6" s="66">
        <f t="shared" si="2"/>
        <v>0.04</v>
      </c>
      <c r="K6" s="66">
        <f t="shared" si="2"/>
        <v>0.04</v>
      </c>
      <c r="L6" s="66">
        <f t="shared" si="2"/>
        <v>0.04</v>
      </c>
    </row>
    <row r="7" spans="1:12" ht="15">
      <c r="A7" s="100" t="s">
        <v>354</v>
      </c>
      <c r="B7" s="3">
        <f>B58</f>
        <v>0.4</v>
      </c>
      <c r="C7" s="66">
        <f t="shared" si="2"/>
        <v>0.4</v>
      </c>
      <c r="D7" s="66">
        <f t="shared" si="2"/>
        <v>0.4</v>
      </c>
      <c r="E7" s="66">
        <f t="shared" si="2"/>
        <v>0.4</v>
      </c>
      <c r="F7" s="66">
        <f t="shared" si="2"/>
        <v>0.4</v>
      </c>
      <c r="G7" s="66">
        <f t="shared" si="2"/>
        <v>0.4</v>
      </c>
      <c r="H7" s="66">
        <f t="shared" si="2"/>
        <v>0.4</v>
      </c>
      <c r="I7" s="66">
        <f t="shared" si="2"/>
        <v>0.4</v>
      </c>
      <c r="J7" s="66">
        <f t="shared" si="2"/>
        <v>0.4</v>
      </c>
      <c r="K7" s="66">
        <f t="shared" si="2"/>
        <v>0.4</v>
      </c>
      <c r="L7" s="66">
        <f t="shared" si="2"/>
        <v>0.4</v>
      </c>
    </row>
    <row r="8" spans="1:12" ht="15">
      <c r="A8" s="100" t="s">
        <v>355</v>
      </c>
      <c r="B8" s="3">
        <f>B59</f>
        <v>0.3</v>
      </c>
      <c r="C8" s="66">
        <f t="shared" si="2"/>
        <v>0.3</v>
      </c>
      <c r="D8" s="66">
        <f t="shared" si="2"/>
        <v>0.3</v>
      </c>
      <c r="E8" s="66">
        <f t="shared" si="2"/>
        <v>0.3</v>
      </c>
      <c r="F8" s="66">
        <f t="shared" si="2"/>
        <v>0.3</v>
      </c>
      <c r="G8" s="66">
        <f t="shared" si="2"/>
        <v>0.3</v>
      </c>
      <c r="H8" s="66">
        <f t="shared" si="2"/>
        <v>0.3</v>
      </c>
      <c r="I8" s="66">
        <f t="shared" si="2"/>
        <v>0.3</v>
      </c>
      <c r="J8" s="66">
        <f t="shared" si="2"/>
        <v>0.3</v>
      </c>
      <c r="K8" s="66">
        <f t="shared" si="2"/>
        <v>0.3</v>
      </c>
      <c r="L8" s="66">
        <f t="shared" si="2"/>
        <v>0.3</v>
      </c>
    </row>
    <row r="9" spans="1:12">
      <c r="A9" s="105" t="s">
        <v>351</v>
      </c>
      <c r="B9" s="66">
        <f>B60</f>
        <v>0.5</v>
      </c>
      <c r="C9" s="66">
        <f>B9</f>
        <v>0.5</v>
      </c>
      <c r="D9" s="66">
        <f t="shared" si="2"/>
        <v>0.5</v>
      </c>
      <c r="E9" s="66">
        <f t="shared" si="2"/>
        <v>0.5</v>
      </c>
      <c r="F9" s="66">
        <f t="shared" si="2"/>
        <v>0.5</v>
      </c>
      <c r="G9" s="66">
        <f t="shared" si="2"/>
        <v>0.5</v>
      </c>
      <c r="H9" s="66">
        <f t="shared" si="2"/>
        <v>0.5</v>
      </c>
      <c r="I9" s="66">
        <f t="shared" si="2"/>
        <v>0.5</v>
      </c>
      <c r="J9" s="66">
        <f t="shared" si="2"/>
        <v>0.5</v>
      </c>
      <c r="K9" s="66">
        <f t="shared" si="2"/>
        <v>0.5</v>
      </c>
      <c r="L9" s="66">
        <f t="shared" si="2"/>
        <v>0.5</v>
      </c>
    </row>
    <row r="10" spans="1:12">
      <c r="A10" s="52" t="s">
        <v>1</v>
      </c>
      <c r="B10" s="3">
        <v>0.05</v>
      </c>
      <c r="C10" s="66">
        <f t="shared" si="2"/>
        <v>0.05</v>
      </c>
      <c r="D10" s="66">
        <f t="shared" si="2"/>
        <v>0.05</v>
      </c>
      <c r="E10" s="66">
        <f t="shared" si="2"/>
        <v>0.05</v>
      </c>
      <c r="F10" s="66">
        <f t="shared" si="2"/>
        <v>0.05</v>
      </c>
      <c r="G10" s="66">
        <f t="shared" si="2"/>
        <v>0.05</v>
      </c>
      <c r="H10" s="66">
        <f t="shared" si="2"/>
        <v>0.05</v>
      </c>
      <c r="I10" s="66">
        <f t="shared" si="2"/>
        <v>0.05</v>
      </c>
      <c r="J10" s="66">
        <f t="shared" si="2"/>
        <v>0.05</v>
      </c>
      <c r="K10" s="66">
        <f t="shared" si="2"/>
        <v>0.05</v>
      </c>
      <c r="L10" s="66">
        <f t="shared" si="2"/>
        <v>0.05</v>
      </c>
    </row>
    <row r="11" spans="1:12">
      <c r="A11" s="52" t="s">
        <v>349</v>
      </c>
      <c r="B11" s="3">
        <v>50</v>
      </c>
      <c r="C11" s="66">
        <f t="shared" si="2"/>
        <v>50</v>
      </c>
      <c r="D11" s="66">
        <f t="shared" si="2"/>
        <v>50</v>
      </c>
      <c r="E11" s="66">
        <f t="shared" si="2"/>
        <v>50</v>
      </c>
      <c r="F11" s="66">
        <f t="shared" si="2"/>
        <v>50</v>
      </c>
      <c r="G11" s="66">
        <f t="shared" si="2"/>
        <v>50</v>
      </c>
      <c r="H11" s="66">
        <f t="shared" si="2"/>
        <v>50</v>
      </c>
      <c r="I11" s="66">
        <f t="shared" si="2"/>
        <v>50</v>
      </c>
      <c r="J11" s="66">
        <f t="shared" si="2"/>
        <v>50</v>
      </c>
      <c r="K11" s="66">
        <f t="shared" si="2"/>
        <v>50</v>
      </c>
      <c r="L11" s="66">
        <f t="shared" si="2"/>
        <v>50</v>
      </c>
    </row>
    <row r="12" spans="1:12">
      <c r="A12" s="52" t="s">
        <v>350</v>
      </c>
      <c r="B12" s="3">
        <v>50</v>
      </c>
      <c r="C12" s="66">
        <f t="shared" si="2"/>
        <v>50</v>
      </c>
      <c r="D12" s="66">
        <f t="shared" si="2"/>
        <v>50</v>
      </c>
      <c r="E12" s="66">
        <f t="shared" si="2"/>
        <v>50</v>
      </c>
      <c r="F12" s="66">
        <f t="shared" si="2"/>
        <v>50</v>
      </c>
      <c r="G12" s="66">
        <f t="shared" si="2"/>
        <v>50</v>
      </c>
      <c r="H12" s="66">
        <f t="shared" si="2"/>
        <v>50</v>
      </c>
      <c r="I12" s="66">
        <f t="shared" si="2"/>
        <v>50</v>
      </c>
      <c r="J12" s="66">
        <f t="shared" si="2"/>
        <v>50</v>
      </c>
      <c r="K12" s="66">
        <f t="shared" si="2"/>
        <v>50</v>
      </c>
      <c r="L12" s="66">
        <f t="shared" si="2"/>
        <v>50</v>
      </c>
    </row>
    <row r="13" spans="1:12">
      <c r="A13" s="52" t="s">
        <v>288</v>
      </c>
      <c r="B13" s="101">
        <v>50</v>
      </c>
      <c r="C13" s="66">
        <f t="shared" si="2"/>
        <v>50</v>
      </c>
      <c r="D13" s="66">
        <f t="shared" si="2"/>
        <v>50</v>
      </c>
      <c r="E13" s="66">
        <f t="shared" si="2"/>
        <v>50</v>
      </c>
      <c r="F13" s="66">
        <f t="shared" si="2"/>
        <v>50</v>
      </c>
      <c r="G13" s="66">
        <f t="shared" si="2"/>
        <v>50</v>
      </c>
      <c r="H13" s="66">
        <f t="shared" si="2"/>
        <v>50</v>
      </c>
      <c r="I13" s="66">
        <f t="shared" si="2"/>
        <v>50</v>
      </c>
      <c r="J13" s="66">
        <f t="shared" si="2"/>
        <v>50</v>
      </c>
      <c r="K13" s="66">
        <f t="shared" si="2"/>
        <v>50</v>
      </c>
      <c r="L13" s="66">
        <f t="shared" si="2"/>
        <v>50</v>
      </c>
    </row>
    <row r="14" spans="1:12">
      <c r="A14" t="s">
        <v>140</v>
      </c>
      <c r="B14" s="3" t="s">
        <v>140</v>
      </c>
      <c r="C14" s="3" t="s">
        <v>140</v>
      </c>
      <c r="D14" s="3" t="s">
        <v>140</v>
      </c>
      <c r="E14" s="3" t="s">
        <v>140</v>
      </c>
      <c r="F14" s="3" t="s">
        <v>140</v>
      </c>
      <c r="G14" s="3" t="s">
        <v>140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140</v>
      </c>
    </row>
    <row r="15" spans="1:12">
      <c r="A15" s="61" t="s">
        <v>73</v>
      </c>
      <c r="B15" s="64">
        <f>(B3/B5-B11/B10)</f>
        <v>1500</v>
      </c>
      <c r="C15" s="64">
        <f t="shared" ref="C15:L15" si="3">(C3/C5-C11/C10)</f>
        <v>1500</v>
      </c>
      <c r="D15" s="64">
        <f t="shared" si="3"/>
        <v>1500</v>
      </c>
      <c r="E15" s="64">
        <f t="shared" si="3"/>
        <v>1500</v>
      </c>
      <c r="F15" s="64">
        <f t="shared" si="3"/>
        <v>1500</v>
      </c>
      <c r="G15" s="64">
        <f t="shared" si="3"/>
        <v>1500</v>
      </c>
      <c r="H15" s="64">
        <f t="shared" si="3"/>
        <v>1500</v>
      </c>
      <c r="I15" s="64">
        <f t="shared" si="3"/>
        <v>1500</v>
      </c>
      <c r="J15" s="64">
        <f t="shared" si="3"/>
        <v>1500</v>
      </c>
      <c r="K15" s="64">
        <f t="shared" si="3"/>
        <v>1500</v>
      </c>
      <c r="L15" s="64">
        <f t="shared" si="3"/>
        <v>1500</v>
      </c>
    </row>
    <row r="16" spans="1:12">
      <c r="A16" s="61" t="s">
        <v>205</v>
      </c>
      <c r="B16" s="64">
        <f>(B4/B6-B12/B10)</f>
        <v>-999.97500000000002</v>
      </c>
      <c r="C16" s="64">
        <f t="shared" ref="C16:L16" si="4">(C4/C6-C12/C10)</f>
        <v>-375</v>
      </c>
      <c r="D16" s="64">
        <f t="shared" si="4"/>
        <v>250</v>
      </c>
      <c r="E16" s="64">
        <f t="shared" si="4"/>
        <v>875</v>
      </c>
      <c r="F16" s="64">
        <f t="shared" si="4"/>
        <v>1500</v>
      </c>
      <c r="G16" s="64">
        <f t="shared" si="4"/>
        <v>2125</v>
      </c>
      <c r="H16" s="64">
        <f t="shared" si="4"/>
        <v>2750</v>
      </c>
      <c r="I16" s="64">
        <f t="shared" si="4"/>
        <v>3375</v>
      </c>
      <c r="J16" s="64">
        <f t="shared" si="4"/>
        <v>4000</v>
      </c>
      <c r="K16" s="64">
        <f t="shared" si="4"/>
        <v>4625</v>
      </c>
      <c r="L16" s="64">
        <f t="shared" si="4"/>
        <v>5250</v>
      </c>
    </row>
    <row r="17" spans="1:12">
      <c r="A17" t="s">
        <v>334</v>
      </c>
      <c r="B17" s="102">
        <f>B3</f>
        <v>100</v>
      </c>
      <c r="C17" s="102">
        <f t="shared" ref="C17:L17" si="5">C3</f>
        <v>100</v>
      </c>
      <c r="D17" s="102">
        <f t="shared" si="5"/>
        <v>100</v>
      </c>
      <c r="E17" s="102">
        <f t="shared" si="5"/>
        <v>100</v>
      </c>
      <c r="F17" s="102">
        <f t="shared" si="5"/>
        <v>100</v>
      </c>
      <c r="G17" s="102">
        <f t="shared" si="5"/>
        <v>100</v>
      </c>
      <c r="H17" s="102">
        <f t="shared" si="5"/>
        <v>100</v>
      </c>
      <c r="I17" s="102">
        <f t="shared" si="5"/>
        <v>100</v>
      </c>
      <c r="J17" s="102">
        <f t="shared" si="5"/>
        <v>100</v>
      </c>
      <c r="K17" s="102">
        <f t="shared" si="5"/>
        <v>100</v>
      </c>
      <c r="L17" s="102">
        <f t="shared" si="5"/>
        <v>100</v>
      </c>
    </row>
    <row r="18" spans="1:12">
      <c r="A18" t="s">
        <v>8</v>
      </c>
      <c r="F18" s="64" t="s">
        <v>140</v>
      </c>
    </row>
    <row r="19" spans="1:12">
      <c r="A19" t="s">
        <v>335</v>
      </c>
      <c r="B19" s="58">
        <f>1+(B5)/(B3)*(B13)</f>
        <v>1.02</v>
      </c>
      <c r="C19" s="58">
        <f t="shared" ref="C19:L19" si="6">1+(C5)/(C3)*(C13)</f>
        <v>1.02</v>
      </c>
      <c r="D19" s="58">
        <f t="shared" si="6"/>
        <v>1.02</v>
      </c>
      <c r="E19" s="58">
        <f t="shared" si="6"/>
        <v>1.02</v>
      </c>
      <c r="F19" s="58">
        <f t="shared" si="6"/>
        <v>1.02</v>
      </c>
      <c r="G19" s="58">
        <f t="shared" si="6"/>
        <v>1.02</v>
      </c>
      <c r="H19" s="58">
        <f t="shared" si="6"/>
        <v>1.02</v>
      </c>
      <c r="I19" s="58">
        <f t="shared" si="6"/>
        <v>1.02</v>
      </c>
      <c r="J19" s="58">
        <f t="shared" si="6"/>
        <v>1.02</v>
      </c>
      <c r="K19" s="58">
        <f t="shared" si="6"/>
        <v>1.02</v>
      </c>
      <c r="L19" s="58">
        <f t="shared" si="6"/>
        <v>1.02</v>
      </c>
    </row>
    <row r="20" spans="1:12">
      <c r="A20" t="s">
        <v>336</v>
      </c>
      <c r="B20" s="58">
        <f>(B7^2)-(2*(B10-B5))-(2*B9*B7*B8)+(B19*(2*(B10-B6)+(B8^2)))</f>
        <v>0.13220000000000004</v>
      </c>
      <c r="C20" s="58">
        <f t="shared" ref="C20:L20" si="7">(C7^2)-(2*(C10-C5))-(2*C9*C7*C8)+(C19*(2*(C10-C6)+(C8^2)))</f>
        <v>0.13220000000000004</v>
      </c>
      <c r="D20" s="58">
        <f t="shared" si="7"/>
        <v>0.13220000000000004</v>
      </c>
      <c r="E20" s="58">
        <f t="shared" si="7"/>
        <v>0.13220000000000004</v>
      </c>
      <c r="F20" s="58">
        <f t="shared" si="7"/>
        <v>0.13220000000000004</v>
      </c>
      <c r="G20" s="58">
        <f t="shared" si="7"/>
        <v>0.13220000000000004</v>
      </c>
      <c r="H20" s="58">
        <f t="shared" si="7"/>
        <v>0.13220000000000004</v>
      </c>
      <c r="I20" s="58">
        <f t="shared" si="7"/>
        <v>0.13220000000000004</v>
      </c>
      <c r="J20" s="58">
        <f t="shared" si="7"/>
        <v>0.13220000000000004</v>
      </c>
      <c r="K20" s="58">
        <f t="shared" si="7"/>
        <v>0.13220000000000004</v>
      </c>
      <c r="L20" s="58">
        <f t="shared" si="7"/>
        <v>0.13220000000000004</v>
      </c>
    </row>
    <row r="21" spans="1:12">
      <c r="A21" t="s">
        <v>337</v>
      </c>
      <c r="B21" s="58">
        <f>(B7^2)+((B8^2)*(B19^2))-(2*B9*B7*B8*B19)</f>
        <v>0.13123600000000002</v>
      </c>
      <c r="C21" s="58">
        <f t="shared" ref="C21:L21" si="8">(C7^2)+((C8^2)*(C19^2))-(2*C9*C7*C8*C19)</f>
        <v>0.13123600000000002</v>
      </c>
      <c r="D21" s="58">
        <f t="shared" si="8"/>
        <v>0.13123600000000002</v>
      </c>
      <c r="E21" s="58">
        <f t="shared" si="8"/>
        <v>0.13123600000000002</v>
      </c>
      <c r="F21" s="58">
        <f t="shared" si="8"/>
        <v>0.13123600000000002</v>
      </c>
      <c r="G21" s="58">
        <f t="shared" si="8"/>
        <v>0.13123600000000002</v>
      </c>
      <c r="H21" s="58">
        <f t="shared" si="8"/>
        <v>0.13123600000000002</v>
      </c>
      <c r="I21" s="58">
        <f t="shared" si="8"/>
        <v>0.13123600000000002</v>
      </c>
      <c r="J21" s="58">
        <f t="shared" si="8"/>
        <v>0.13123600000000002</v>
      </c>
      <c r="K21" s="58">
        <f t="shared" si="8"/>
        <v>0.13123600000000002</v>
      </c>
      <c r="L21" s="58">
        <f t="shared" si="8"/>
        <v>0.13123600000000002</v>
      </c>
    </row>
    <row r="22" spans="1:12">
      <c r="A22" s="103" t="s">
        <v>338</v>
      </c>
      <c r="B22" s="58">
        <f>(B20/(2*B21))-SQRT(((B20/(2*B21))^2)+(2*((B6)/B21)))</f>
        <v>-0.42545321137282788</v>
      </c>
      <c r="C22" s="58">
        <f t="shared" ref="C22:L22" si="9">(C20/(2*C21))-SQRT(((C20/(2*C21))^2)+(2*((C6)/C21)))</f>
        <v>-0.42545321137282788</v>
      </c>
      <c r="D22" s="58">
        <f t="shared" si="9"/>
        <v>-0.42545321137282788</v>
      </c>
      <c r="E22" s="58">
        <f t="shared" si="9"/>
        <v>-0.42545321137282788</v>
      </c>
      <c r="F22" s="58">
        <f t="shared" si="9"/>
        <v>-0.42545321137282788</v>
      </c>
      <c r="G22" s="58">
        <f t="shared" si="9"/>
        <v>-0.42545321137282788</v>
      </c>
      <c r="H22" s="58">
        <f t="shared" si="9"/>
        <v>-0.42545321137282788</v>
      </c>
      <c r="I22" s="58">
        <f t="shared" si="9"/>
        <v>-0.42545321137282788</v>
      </c>
      <c r="J22" s="58">
        <f t="shared" si="9"/>
        <v>-0.42545321137282788</v>
      </c>
      <c r="K22" s="58">
        <f t="shared" si="9"/>
        <v>-0.42545321137282788</v>
      </c>
      <c r="L22" s="58">
        <f t="shared" si="9"/>
        <v>-0.42545321137282788</v>
      </c>
    </row>
    <row r="23" spans="1:12">
      <c r="A23" s="103" t="s">
        <v>339</v>
      </c>
      <c r="B23" s="58">
        <f>1-B19*B22</f>
        <v>1.4339622756002846</v>
      </c>
      <c r="C23" s="58">
        <f t="shared" ref="C23:L23" si="10">1-C19*C22</f>
        <v>1.4339622756002846</v>
      </c>
      <c r="D23" s="58">
        <f t="shared" si="10"/>
        <v>1.4339622756002846</v>
      </c>
      <c r="E23" s="58">
        <f t="shared" si="10"/>
        <v>1.4339622756002846</v>
      </c>
      <c r="F23" s="58">
        <f t="shared" si="10"/>
        <v>1.4339622756002846</v>
      </c>
      <c r="G23" s="58">
        <f t="shared" si="10"/>
        <v>1.4339622756002846</v>
      </c>
      <c r="H23" s="58">
        <f t="shared" si="10"/>
        <v>1.4339622756002846</v>
      </c>
      <c r="I23" s="58">
        <f t="shared" si="10"/>
        <v>1.4339622756002846</v>
      </c>
      <c r="J23" s="58">
        <f t="shared" si="10"/>
        <v>1.4339622756002846</v>
      </c>
      <c r="K23" s="58">
        <f t="shared" si="10"/>
        <v>1.4339622756002846</v>
      </c>
      <c r="L23" s="58">
        <f t="shared" si="10"/>
        <v>1.4339622756002846</v>
      </c>
    </row>
    <row r="24" spans="1:12">
      <c r="A24" t="s">
        <v>340</v>
      </c>
      <c r="B24" s="104">
        <f>(-(B23/B22)*((B6)/(B5)*B17))</f>
        <v>337.04347205965558</v>
      </c>
      <c r="C24" s="104">
        <f t="shared" ref="C24:L24" si="11">(-(C23/C22)*((C6)/(C5)*C17))</f>
        <v>337.04347205965558</v>
      </c>
      <c r="D24" s="104">
        <f t="shared" si="11"/>
        <v>337.04347205965558</v>
      </c>
      <c r="E24" s="104">
        <f t="shared" si="11"/>
        <v>337.04347205965558</v>
      </c>
      <c r="F24" s="104">
        <f t="shared" si="11"/>
        <v>337.04347205965558</v>
      </c>
      <c r="G24" s="104">
        <f t="shared" si="11"/>
        <v>337.04347205965558</v>
      </c>
      <c r="H24" s="104">
        <f t="shared" si="11"/>
        <v>337.04347205965558</v>
      </c>
      <c r="I24" s="104">
        <f t="shared" si="11"/>
        <v>337.04347205965558</v>
      </c>
      <c r="J24" s="104">
        <f t="shared" si="11"/>
        <v>337.04347205965558</v>
      </c>
      <c r="K24" s="104">
        <f t="shared" si="11"/>
        <v>337.04347205965558</v>
      </c>
      <c r="L24" s="104">
        <f t="shared" si="11"/>
        <v>337.04347205965558</v>
      </c>
    </row>
    <row r="25" spans="1:12">
      <c r="A25" t="s">
        <v>341</v>
      </c>
      <c r="B25" s="102">
        <f>(-(1/B22)*(1/B5)*(1/((B17^(B22-1))*(B24^B23))))</f>
        <v>9.8943751177460015</v>
      </c>
      <c r="C25" s="102">
        <f t="shared" ref="C25:L25" si="12">(-(1/C22)*(1/C5)*(1/((C17^(C22-1))*(C24^C23))))</f>
        <v>9.8943751177460015</v>
      </c>
      <c r="D25" s="102">
        <f t="shared" si="12"/>
        <v>9.8943751177460015</v>
      </c>
      <c r="E25" s="102">
        <f t="shared" si="12"/>
        <v>9.8943751177460015</v>
      </c>
      <c r="F25" s="102">
        <f t="shared" si="12"/>
        <v>9.8943751177460015</v>
      </c>
      <c r="G25" s="102">
        <f t="shared" si="12"/>
        <v>9.8943751177460015</v>
      </c>
      <c r="H25" s="102">
        <f t="shared" si="12"/>
        <v>9.8943751177460015</v>
      </c>
      <c r="I25" s="102">
        <f t="shared" si="12"/>
        <v>9.8943751177460015</v>
      </c>
      <c r="J25" s="102">
        <f t="shared" si="12"/>
        <v>9.8943751177460015</v>
      </c>
      <c r="K25" s="102">
        <f t="shared" si="12"/>
        <v>9.8943751177460015</v>
      </c>
      <c r="L25" s="102">
        <f t="shared" si="12"/>
        <v>9.8943751177460015</v>
      </c>
    </row>
    <row r="26" spans="1:12">
      <c r="A26" s="17" t="s">
        <v>342</v>
      </c>
      <c r="B26" s="104">
        <f>IF(B4&lt;B24,B25*(B3^B22)*(B4^B23)+B3/B5-B11/B10,B27)</f>
        <v>1500.0000695977374</v>
      </c>
      <c r="C26" s="104">
        <f t="shared" ref="C26:L26" si="13">IF(C4&lt;C24,C25*(C3^C22)*(C4^C23)+C3/C5-C11/C10,C27)</f>
        <v>1640.9532794290253</v>
      </c>
      <c r="D26" s="104">
        <f t="shared" si="13"/>
        <v>1880.8384967688689</v>
      </c>
      <c r="E26" s="104">
        <f t="shared" si="13"/>
        <v>2181.1598870667249</v>
      </c>
      <c r="F26" s="104">
        <f t="shared" si="13"/>
        <v>2528.9789723849826</v>
      </c>
      <c r="G26" s="104">
        <f t="shared" si="13"/>
        <v>2917.0063702265334</v>
      </c>
      <c r="H26" s="104">
        <f t="shared" si="13"/>
        <v>3340.41058498654</v>
      </c>
      <c r="I26" s="104">
        <f t="shared" si="13"/>
        <v>3795.6934399856345</v>
      </c>
      <c r="J26" s="104">
        <f t="shared" si="13"/>
        <v>4280.1751519175759</v>
      </c>
      <c r="K26" s="104">
        <f t="shared" si="13"/>
        <v>4791.7204454429302</v>
      </c>
      <c r="L26" s="104">
        <f t="shared" si="13"/>
        <v>5328.577654489517</v>
      </c>
    </row>
    <row r="27" spans="1:12">
      <c r="A27" s="17" t="s">
        <v>75</v>
      </c>
      <c r="B27" s="102">
        <f>MAX(0,B4/B6-B12/B10-B13)</f>
        <v>0</v>
      </c>
      <c r="C27" s="102">
        <f t="shared" ref="C27:L27" si="14">MAX(0,C4/C6-C12/C10-C13)</f>
        <v>0</v>
      </c>
      <c r="D27" s="102">
        <f t="shared" si="14"/>
        <v>200</v>
      </c>
      <c r="E27" s="102">
        <f t="shared" si="14"/>
        <v>825</v>
      </c>
      <c r="F27" s="102">
        <f t="shared" si="14"/>
        <v>1450</v>
      </c>
      <c r="G27" s="102">
        <f t="shared" si="14"/>
        <v>2075</v>
      </c>
      <c r="H27" s="102">
        <f t="shared" si="14"/>
        <v>2700</v>
      </c>
      <c r="I27" s="102">
        <f t="shared" si="14"/>
        <v>3325</v>
      </c>
      <c r="J27" s="102">
        <f t="shared" si="14"/>
        <v>3950</v>
      </c>
      <c r="K27" s="102">
        <f t="shared" si="14"/>
        <v>4575</v>
      </c>
      <c r="L27" s="102">
        <f t="shared" si="14"/>
        <v>5200</v>
      </c>
    </row>
    <row r="28" spans="1:12">
      <c r="A28" s="17" t="s">
        <v>70</v>
      </c>
      <c r="B28" s="102">
        <f>B25*(B3^B22)*(B4^B23)</f>
        <v>6.9597737527577413E-5</v>
      </c>
      <c r="C28" s="102">
        <f t="shared" ref="C28:L28" si="15">C25*(C3^C22)*(C4^C23)</f>
        <v>140.95327942902546</v>
      </c>
      <c r="D28" s="102">
        <f t="shared" si="15"/>
        <v>380.83849676886894</v>
      </c>
      <c r="E28" s="102">
        <f t="shared" si="15"/>
        <v>681.15988706672476</v>
      </c>
      <c r="F28" s="102">
        <f t="shared" si="15"/>
        <v>1028.9789723849824</v>
      </c>
      <c r="G28" s="102">
        <f t="shared" si="15"/>
        <v>1417.0063702265336</v>
      </c>
      <c r="H28" s="102">
        <f t="shared" si="15"/>
        <v>1840.4105849865398</v>
      </c>
      <c r="I28" s="102">
        <f t="shared" si="15"/>
        <v>2295.6934399856345</v>
      </c>
      <c r="J28" s="102">
        <f t="shared" si="15"/>
        <v>2780.1751519175764</v>
      </c>
      <c r="K28" s="102">
        <f t="shared" si="15"/>
        <v>3291.7204454429307</v>
      </c>
      <c r="L28" s="102">
        <f t="shared" si="15"/>
        <v>3828.577654489517</v>
      </c>
    </row>
    <row r="29" spans="1:12">
      <c r="A29" t="str">
        <f>A4</f>
        <v>y</v>
      </c>
      <c r="B29">
        <f t="shared" ref="B29:L29" si="16">B4</f>
        <v>1E-3</v>
      </c>
      <c r="C29">
        <f t="shared" si="16"/>
        <v>25</v>
      </c>
      <c r="D29">
        <f t="shared" si="16"/>
        <v>50</v>
      </c>
      <c r="E29">
        <f t="shared" si="16"/>
        <v>75</v>
      </c>
      <c r="F29">
        <f t="shared" si="16"/>
        <v>100</v>
      </c>
      <c r="G29">
        <f t="shared" si="16"/>
        <v>125</v>
      </c>
      <c r="H29">
        <f t="shared" si="16"/>
        <v>150</v>
      </c>
      <c r="I29">
        <f t="shared" si="16"/>
        <v>175</v>
      </c>
      <c r="J29">
        <f t="shared" si="16"/>
        <v>200</v>
      </c>
      <c r="K29">
        <f t="shared" si="16"/>
        <v>225</v>
      </c>
      <c r="L29">
        <f t="shared" si="16"/>
        <v>250</v>
      </c>
    </row>
    <row r="30" spans="1:12">
      <c r="A30" t="s">
        <v>343</v>
      </c>
      <c r="B30" s="102">
        <f t="shared" ref="B30:L30" si="17">0.5*(B7^2)*(B3^2)*B33+0.5*(B8^2)*(B4^2)*B34+B9*B7*B8*B3*B4*B35+(B10-B5)*B3*B31+(B10-B6)*B4*B32-B10*B28+(B3-B11)</f>
        <v>75</v>
      </c>
      <c r="C30" s="102">
        <f t="shared" si="17"/>
        <v>75</v>
      </c>
      <c r="D30" s="102">
        <f t="shared" si="17"/>
        <v>75</v>
      </c>
      <c r="E30" s="102">
        <f t="shared" si="17"/>
        <v>75.000000000000014</v>
      </c>
      <c r="F30" s="102">
        <f t="shared" si="17"/>
        <v>74.999999999999972</v>
      </c>
      <c r="G30" s="102">
        <f t="shared" si="17"/>
        <v>74.999999999999986</v>
      </c>
      <c r="H30" s="102">
        <f t="shared" si="17"/>
        <v>75</v>
      </c>
      <c r="I30" s="102">
        <f t="shared" si="17"/>
        <v>74.999999999999943</v>
      </c>
      <c r="J30" s="102">
        <f t="shared" si="17"/>
        <v>75</v>
      </c>
      <c r="K30" s="102">
        <f t="shared" si="17"/>
        <v>74.999999999999972</v>
      </c>
      <c r="L30" s="102">
        <f t="shared" si="17"/>
        <v>75.000000000000028</v>
      </c>
    </row>
    <row r="31" spans="1:12" ht="15">
      <c r="A31" t="s">
        <v>344</v>
      </c>
      <c r="B31" s="102">
        <f>B22*B25*(B3^(B22-1))*(B4^B23)+1/(B5)</f>
        <v>24.99999970389419</v>
      </c>
      <c r="C31" s="102">
        <f t="shared" ref="C31:L31" si="18">C22*C25*(C3^(C22-1))*(C4^C23)+1/(C5)</f>
        <v>24.400309746133896</v>
      </c>
      <c r="D31" s="102">
        <f t="shared" si="18"/>
        <v>23.379710385352844</v>
      </c>
      <c r="E31" s="102">
        <f t="shared" si="18"/>
        <v>22.101983385891089</v>
      </c>
      <c r="F31" s="102">
        <f t="shared" si="18"/>
        <v>20.622175917636966</v>
      </c>
      <c r="G31" s="102">
        <f t="shared" si="18"/>
        <v>18.971300892513668</v>
      </c>
      <c r="H31" s="102">
        <f t="shared" si="18"/>
        <v>17.169914063729316</v>
      </c>
      <c r="I31" s="102">
        <f t="shared" si="18"/>
        <v>15.232898536305768</v>
      </c>
      <c r="J31" s="102">
        <f t="shared" si="18"/>
        <v>13.171655534377269</v>
      </c>
      <c r="K31" s="102">
        <f t="shared" si="18"/>
        <v>10.995269655447091</v>
      </c>
      <c r="L31" s="102">
        <f t="shared" si="18"/>
        <v>8.7111934190718507</v>
      </c>
    </row>
    <row r="32" spans="1:12" ht="15">
      <c r="A32" t="s">
        <v>345</v>
      </c>
      <c r="B32" s="102">
        <f>B23*B25*(B3^B22)*(B4^(B23-1))</f>
        <v>9.9800530081676206E-2</v>
      </c>
      <c r="C32" s="102">
        <f t="shared" ref="C32:L32" si="19">C23*C25*(C3^C22)*(C4^(C23-1))</f>
        <v>8.0848674129347309</v>
      </c>
      <c r="D32" s="102">
        <f t="shared" si="19"/>
        <v>10.922160749257582</v>
      </c>
      <c r="E32" s="102">
        <f t="shared" si="19"/>
        <v>13.023434422744453</v>
      </c>
      <c r="F32" s="102">
        <f t="shared" si="19"/>
        <v>14.755170287860109</v>
      </c>
      <c r="G32" s="102">
        <f t="shared" si="19"/>
        <v>16.255469433521107</v>
      </c>
      <c r="H32" s="102">
        <f t="shared" si="19"/>
        <v>17.593862336574333</v>
      </c>
      <c r="I32" s="102">
        <f t="shared" si="19"/>
        <v>18.811073081613976</v>
      </c>
      <c r="J32" s="102">
        <f t="shared" si="19"/>
        <v>19.933331437055482</v>
      </c>
      <c r="K32" s="102">
        <f t="shared" si="19"/>
        <v>20.978679735943679</v>
      </c>
      <c r="L32" s="102">
        <f t="shared" si="19"/>
        <v>21.960143702976755</v>
      </c>
    </row>
    <row r="33" spans="1:12" ht="15">
      <c r="A33" t="s">
        <v>346</v>
      </c>
      <c r="B33" s="102">
        <f>B22*(B22-1)*B25*(B3^(B22-2))*(B4^B23)</f>
        <v>4.2208497684968118E-9</v>
      </c>
      <c r="C33" s="102">
        <f t="shared" ref="C33:L33" si="20">C22*(C22-1)*C25*(C3^(C22-2))*(C4^C23)</f>
        <v>8.5483039820242503E-3</v>
      </c>
      <c r="D33" s="102">
        <f t="shared" si="20"/>
        <v>2.3096470345528301E-2</v>
      </c>
      <c r="E33" s="102">
        <f t="shared" si="20"/>
        <v>4.1309870891933519E-2</v>
      </c>
      <c r="F33" s="102">
        <f t="shared" si="20"/>
        <v>6.2403833970296863E-2</v>
      </c>
      <c r="G33" s="102">
        <f t="shared" si="20"/>
        <v>8.5936285031668891E-2</v>
      </c>
      <c r="H33" s="102">
        <f t="shared" si="20"/>
        <v>0.11161421143182257</v>
      </c>
      <c r="I33" s="102">
        <f t="shared" si="20"/>
        <v>0.1392254614722718</v>
      </c>
      <c r="J33" s="102">
        <f t="shared" si="20"/>
        <v>0.16860751603745927</v>
      </c>
      <c r="K33" s="102">
        <f t="shared" si="20"/>
        <v>0.19963087844053423</v>
      </c>
      <c r="L33" s="102">
        <f t="shared" si="20"/>
        <v>0.23218931650214869</v>
      </c>
    </row>
    <row r="34" spans="1:12" ht="15">
      <c r="A34" t="s">
        <v>347</v>
      </c>
      <c r="B34" s="102">
        <f>B23*(B23-1)*B25*(B3^B22)*(B4^(B23-2))</f>
        <v>43.309665140358852</v>
      </c>
      <c r="C34" s="102">
        <f t="shared" ref="C34:L34" si="21">C23*(C23-1)*C25*(C3^C22)*(C4^(C23-2))</f>
        <v>0.14034109841774969</v>
      </c>
      <c r="D34" s="102">
        <f t="shared" si="21"/>
        <v>9.4796114664398579E-2</v>
      </c>
      <c r="E34" s="102">
        <f t="shared" si="21"/>
        <v>7.5355723176336847E-2</v>
      </c>
      <c r="F34" s="102">
        <f t="shared" si="21"/>
        <v>6.4031872749894747E-2</v>
      </c>
      <c r="G34" s="102">
        <f t="shared" si="21"/>
        <v>5.6434084050573485E-2</v>
      </c>
      <c r="H34" s="102">
        <f t="shared" si="21"/>
        <v>5.0900483574519595E-2</v>
      </c>
      <c r="I34" s="102">
        <f t="shared" si="21"/>
        <v>4.6647406177031177E-2</v>
      </c>
      <c r="J34" s="102">
        <f t="shared" si="21"/>
        <v>4.3251569353596461E-2</v>
      </c>
      <c r="K34" s="102">
        <f t="shared" si="21"/>
        <v>4.0462024876887534E-2</v>
      </c>
      <c r="L34" s="102">
        <f t="shared" si="21"/>
        <v>3.811949573541222E-2</v>
      </c>
    </row>
    <row r="35" spans="1:12" ht="15">
      <c r="A35" t="s">
        <v>348</v>
      </c>
      <c r="B35" s="102">
        <f>B22*B23*B25*(B3^(B22-1))*(B4^(B23-1))</f>
        <v>-4.246045601995967E-4</v>
      </c>
      <c r="C35" s="102">
        <f t="shared" ref="C35:L35" si="22">C22*C23*C25*(C3^(C22-1))*(C4^(C23-1))</f>
        <v>-3.43973280435661E-2</v>
      </c>
      <c r="D35" s="102">
        <f t="shared" si="22"/>
        <v>-4.646868365901892E-2</v>
      </c>
      <c r="E35" s="102">
        <f t="shared" si="22"/>
        <v>-5.5408619982600604E-2</v>
      </c>
      <c r="F35" s="102">
        <f t="shared" si="22"/>
        <v>-6.277634583323019E-2</v>
      </c>
      <c r="G35" s="102">
        <f t="shared" si="22"/>
        <v>-6.9159416728644008E-2</v>
      </c>
      <c r="H35" s="102">
        <f t="shared" si="22"/>
        <v>-7.485365231546999E-2</v>
      </c>
      <c r="I35" s="102">
        <f t="shared" si="22"/>
        <v>-8.0032314519416281E-2</v>
      </c>
      <c r="J35" s="102">
        <f t="shared" si="22"/>
        <v>-8.4806998732542049E-2</v>
      </c>
      <c r="K35" s="102">
        <f t="shared" si="22"/>
        <v>-8.9254466640193111E-2</v>
      </c>
      <c r="L35" s="102">
        <f t="shared" si="22"/>
        <v>-9.3430136606402481E-2</v>
      </c>
    </row>
    <row r="54" spans="1:2">
      <c r="A54" t="s">
        <v>139</v>
      </c>
      <c r="B54">
        <v>100</v>
      </c>
    </row>
    <row r="55" spans="1:2">
      <c r="A55" t="s">
        <v>203</v>
      </c>
      <c r="B55">
        <v>0</v>
      </c>
    </row>
    <row r="56" spans="1:2">
      <c r="A56" s="106" t="s">
        <v>352</v>
      </c>
      <c r="B56">
        <v>0.04</v>
      </c>
    </row>
    <row r="57" spans="1:2">
      <c r="A57" s="106" t="s">
        <v>353</v>
      </c>
      <c r="B57">
        <v>0.04</v>
      </c>
    </row>
    <row r="58" spans="1:2" ht="15">
      <c r="A58" s="100" t="s">
        <v>354</v>
      </c>
      <c r="B58" s="4">
        <v>0.4</v>
      </c>
    </row>
    <row r="59" spans="1:2" ht="15">
      <c r="A59" s="100" t="s">
        <v>355</v>
      </c>
      <c r="B59" s="4">
        <v>0.3</v>
      </c>
    </row>
    <row r="60" spans="1:2">
      <c r="A60" s="105" t="s">
        <v>351</v>
      </c>
      <c r="B60" s="4">
        <v>0.5</v>
      </c>
    </row>
    <row r="61" spans="1:2">
      <c r="A61" s="17" t="s">
        <v>342</v>
      </c>
      <c r="B61" s="104" t="s">
        <v>405</v>
      </c>
    </row>
    <row r="62" spans="1:2">
      <c r="A62" s="17" t="s">
        <v>75</v>
      </c>
      <c r="B62" s="102" t="s">
        <v>406</v>
      </c>
    </row>
    <row r="63" spans="1:2">
      <c r="A63" s="17" t="s">
        <v>70</v>
      </c>
      <c r="B63" s="102" t="s">
        <v>375</v>
      </c>
    </row>
  </sheetData>
  <printOptions horizontalCentered="1" headings="1"/>
  <pageMargins left="0.7" right="0.7" top="0.75" bottom="0.75" header="0.3" footer="0.3"/>
  <pageSetup scale="7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455D-47A4-486B-8C16-029A797332CB}">
  <sheetPr>
    <pageSetUpPr fitToPage="1"/>
  </sheetPr>
  <dimension ref="A1:J55"/>
  <sheetViews>
    <sheetView topLeftCell="A35" workbookViewId="0">
      <selection activeCell="A48" sqref="A21:J48"/>
    </sheetView>
  </sheetViews>
  <sheetFormatPr defaultRowHeight="12.75"/>
  <cols>
    <col min="1" max="1" width="18" bestFit="1" customWidth="1"/>
    <col min="2" max="2" width="10.85546875" bestFit="1" customWidth="1"/>
    <col min="3" max="3" width="10.28515625" bestFit="1" customWidth="1"/>
  </cols>
  <sheetData>
    <row r="1" spans="1:10">
      <c r="B1" s="48" t="s">
        <v>317</v>
      </c>
    </row>
    <row r="2" spans="1:10" ht="15">
      <c r="B2" t="s">
        <v>148</v>
      </c>
      <c r="C2" s="72" t="s">
        <v>140</v>
      </c>
    </row>
    <row r="3" spans="1:10">
      <c r="A3" t="s">
        <v>185</v>
      </c>
      <c r="B3" s="4">
        <v>25</v>
      </c>
      <c r="C3" s="4">
        <f>B3+25</f>
        <v>50</v>
      </c>
      <c r="D3" s="4">
        <f t="shared" ref="D3:J3" si="0">C3+25</f>
        <v>75</v>
      </c>
      <c r="E3" s="4">
        <f t="shared" si="0"/>
        <v>100</v>
      </c>
      <c r="F3" s="4">
        <f t="shared" si="0"/>
        <v>125</v>
      </c>
      <c r="G3" s="4">
        <f t="shared" si="0"/>
        <v>150</v>
      </c>
      <c r="H3" s="4">
        <f t="shared" si="0"/>
        <v>175</v>
      </c>
      <c r="I3" s="4">
        <f t="shared" si="0"/>
        <v>200</v>
      </c>
      <c r="J3" s="4">
        <f t="shared" si="0"/>
        <v>225</v>
      </c>
    </row>
    <row r="4" spans="1:10">
      <c r="A4" t="s">
        <v>224</v>
      </c>
      <c r="B4" s="4">
        <f>B6/B11</f>
        <v>100</v>
      </c>
      <c r="C4" s="4">
        <f>B4</f>
        <v>100</v>
      </c>
      <c r="D4" s="4">
        <f t="shared" ref="D4:J4" si="1">C4</f>
        <v>100</v>
      </c>
      <c r="E4" s="4">
        <f t="shared" si="1"/>
        <v>100</v>
      </c>
      <c r="F4" s="4">
        <f t="shared" si="1"/>
        <v>100</v>
      </c>
      <c r="G4" s="4">
        <f t="shared" si="1"/>
        <v>100</v>
      </c>
      <c r="H4" s="4">
        <f t="shared" si="1"/>
        <v>100</v>
      </c>
      <c r="I4" s="4">
        <f t="shared" si="1"/>
        <v>100</v>
      </c>
      <c r="J4" s="4">
        <f t="shared" si="1"/>
        <v>100</v>
      </c>
    </row>
    <row r="5" spans="1:10">
      <c r="A5" s="17" t="s">
        <v>326</v>
      </c>
      <c r="B5" s="4">
        <f>B3-B4</f>
        <v>-75</v>
      </c>
      <c r="C5" s="4">
        <f t="shared" ref="C5:J5" si="2">C3-C4</f>
        <v>-50</v>
      </c>
      <c r="D5" s="4">
        <f t="shared" si="2"/>
        <v>-25</v>
      </c>
      <c r="E5" s="4">
        <f t="shared" si="2"/>
        <v>0</v>
      </c>
      <c r="F5" s="4">
        <f t="shared" si="2"/>
        <v>25</v>
      </c>
      <c r="G5" s="4">
        <f t="shared" si="2"/>
        <v>50</v>
      </c>
      <c r="H5" s="4">
        <f t="shared" si="2"/>
        <v>75</v>
      </c>
      <c r="I5" s="4">
        <f t="shared" si="2"/>
        <v>100</v>
      </c>
      <c r="J5" s="4">
        <f t="shared" si="2"/>
        <v>125</v>
      </c>
    </row>
    <row r="6" spans="1:10">
      <c r="A6" t="s">
        <v>228</v>
      </c>
      <c r="B6" s="4">
        <f>B44</f>
        <v>6</v>
      </c>
      <c r="C6" s="4">
        <f t="shared" ref="C6:C11" si="3">B6</f>
        <v>6</v>
      </c>
      <c r="D6" s="4">
        <f t="shared" ref="D6:J11" si="4">C6</f>
        <v>6</v>
      </c>
      <c r="E6" s="4">
        <f t="shared" si="4"/>
        <v>6</v>
      </c>
      <c r="F6" s="4">
        <f t="shared" si="4"/>
        <v>6</v>
      </c>
      <c r="G6" s="4">
        <f t="shared" si="4"/>
        <v>6</v>
      </c>
      <c r="H6" s="4">
        <f t="shared" si="4"/>
        <v>6</v>
      </c>
      <c r="I6" s="4">
        <f t="shared" si="4"/>
        <v>6</v>
      </c>
      <c r="J6" s="4">
        <f t="shared" si="4"/>
        <v>6</v>
      </c>
    </row>
    <row r="7" spans="1:10">
      <c r="A7" s="2" t="s">
        <v>187</v>
      </c>
      <c r="B7" s="4">
        <f>B45</f>
        <v>0</v>
      </c>
      <c r="C7" s="4">
        <f t="shared" si="3"/>
        <v>0</v>
      </c>
      <c r="D7" s="4">
        <f t="shared" si="4"/>
        <v>0</v>
      </c>
      <c r="E7" s="4">
        <f t="shared" si="4"/>
        <v>0</v>
      </c>
      <c r="F7" s="4">
        <f t="shared" si="4"/>
        <v>0</v>
      </c>
      <c r="G7" s="4">
        <f t="shared" si="4"/>
        <v>0</v>
      </c>
      <c r="H7" s="4">
        <f t="shared" si="4"/>
        <v>0</v>
      </c>
      <c r="I7" s="4">
        <f t="shared" si="4"/>
        <v>0</v>
      </c>
      <c r="J7" s="4">
        <f t="shared" si="4"/>
        <v>0</v>
      </c>
    </row>
    <row r="8" spans="1:10" ht="15">
      <c r="A8" s="73" t="s">
        <v>3</v>
      </c>
      <c r="B8" s="74">
        <f>B46</f>
        <v>0.2</v>
      </c>
      <c r="C8" s="74">
        <f t="shared" si="3"/>
        <v>0.2</v>
      </c>
      <c r="D8" s="74">
        <f t="shared" si="4"/>
        <v>0.2</v>
      </c>
      <c r="E8" s="74">
        <f t="shared" si="4"/>
        <v>0.2</v>
      </c>
      <c r="F8" s="74">
        <f t="shared" si="4"/>
        <v>0.2</v>
      </c>
      <c r="G8" s="74">
        <f t="shared" si="4"/>
        <v>0.2</v>
      </c>
      <c r="H8" s="74">
        <f t="shared" si="4"/>
        <v>0.2</v>
      </c>
      <c r="I8" s="74">
        <f t="shared" si="4"/>
        <v>0.2</v>
      </c>
      <c r="J8" s="74">
        <f t="shared" si="4"/>
        <v>0.2</v>
      </c>
    </row>
    <row r="9" spans="1:10">
      <c r="A9" s="2" t="s">
        <v>141</v>
      </c>
      <c r="B9" s="74">
        <f>B47</f>
        <v>0.5</v>
      </c>
      <c r="C9" s="4">
        <f t="shared" si="3"/>
        <v>0.5</v>
      </c>
      <c r="D9" s="4">
        <f t="shared" si="4"/>
        <v>0.5</v>
      </c>
      <c r="E9" s="4">
        <f t="shared" si="4"/>
        <v>0.5</v>
      </c>
      <c r="F9" s="4">
        <f t="shared" si="4"/>
        <v>0.5</v>
      </c>
      <c r="G9" s="4">
        <f t="shared" si="4"/>
        <v>0.5</v>
      </c>
      <c r="H9" s="4">
        <f t="shared" si="4"/>
        <v>0.5</v>
      </c>
      <c r="I9" s="4">
        <f t="shared" si="4"/>
        <v>0.5</v>
      </c>
      <c r="J9" s="4">
        <f t="shared" si="4"/>
        <v>0.5</v>
      </c>
    </row>
    <row r="10" spans="1:10">
      <c r="A10" s="2" t="s">
        <v>137</v>
      </c>
      <c r="B10" s="4">
        <v>0.35</v>
      </c>
      <c r="C10" s="4">
        <f t="shared" si="3"/>
        <v>0.35</v>
      </c>
      <c r="D10" s="4">
        <f t="shared" si="4"/>
        <v>0.35</v>
      </c>
      <c r="E10" s="4">
        <f t="shared" si="4"/>
        <v>0.35</v>
      </c>
      <c r="F10" s="4">
        <f t="shared" si="4"/>
        <v>0.35</v>
      </c>
      <c r="G10" s="4">
        <f t="shared" si="4"/>
        <v>0.35</v>
      </c>
      <c r="H10" s="4">
        <f t="shared" si="4"/>
        <v>0.35</v>
      </c>
      <c r="I10" s="4">
        <f t="shared" si="4"/>
        <v>0.35</v>
      </c>
      <c r="J10" s="4">
        <f t="shared" si="4"/>
        <v>0.35</v>
      </c>
    </row>
    <row r="11" spans="1:10">
      <c r="A11" s="42" t="s">
        <v>211</v>
      </c>
      <c r="B11" s="4">
        <v>0.06</v>
      </c>
      <c r="C11" s="4">
        <f t="shared" si="3"/>
        <v>0.06</v>
      </c>
      <c r="D11" s="4">
        <f t="shared" si="4"/>
        <v>0.06</v>
      </c>
      <c r="E11" s="4">
        <f t="shared" si="4"/>
        <v>0.06</v>
      </c>
      <c r="F11" s="4">
        <f t="shared" si="4"/>
        <v>0.06</v>
      </c>
      <c r="G11" s="4">
        <f t="shared" si="4"/>
        <v>0.06</v>
      </c>
      <c r="H11" s="4">
        <f t="shared" si="4"/>
        <v>0.06</v>
      </c>
      <c r="I11" s="4">
        <f t="shared" si="4"/>
        <v>0.06</v>
      </c>
      <c r="J11" s="4">
        <f t="shared" si="4"/>
        <v>0.06</v>
      </c>
    </row>
    <row r="12" spans="1:10">
      <c r="A12" s="42" t="s">
        <v>150</v>
      </c>
    </row>
    <row r="13" spans="1:10">
      <c r="A13" s="42" t="str">
        <f>A3</f>
        <v>ASSET</v>
      </c>
      <c r="B13" s="42">
        <f t="shared" ref="B13:J13" si="5">B3</f>
        <v>25</v>
      </c>
      <c r="C13" s="42">
        <f t="shared" si="5"/>
        <v>50</v>
      </c>
      <c r="D13" s="42">
        <f t="shared" si="5"/>
        <v>75</v>
      </c>
      <c r="E13" s="42">
        <f t="shared" si="5"/>
        <v>100</v>
      </c>
      <c r="F13" s="42">
        <f t="shared" si="5"/>
        <v>125</v>
      </c>
      <c r="G13" s="42">
        <f t="shared" si="5"/>
        <v>150</v>
      </c>
      <c r="H13" s="42">
        <f t="shared" si="5"/>
        <v>175</v>
      </c>
      <c r="I13" s="42">
        <f t="shared" si="5"/>
        <v>200</v>
      </c>
      <c r="J13" s="42">
        <f t="shared" si="5"/>
        <v>225</v>
      </c>
    </row>
    <row r="14" spans="1:10">
      <c r="A14" s="42" t="s">
        <v>319</v>
      </c>
      <c r="B14" s="45">
        <f>B4-B16</f>
        <v>87.5</v>
      </c>
      <c r="C14" s="45">
        <f t="shared" ref="C14:J14" si="6">C4-C16</f>
        <v>70.093740234374962</v>
      </c>
      <c r="D14" s="45">
        <f t="shared" si="6"/>
        <v>20.768515624999992</v>
      </c>
      <c r="E14" s="45">
        <f t="shared" si="6"/>
        <v>8.7617175292968739</v>
      </c>
      <c r="F14" s="45">
        <f t="shared" si="6"/>
        <v>4.4859993750000058</v>
      </c>
      <c r="G14" s="45">
        <f t="shared" si="6"/>
        <v>2.5960644531249955</v>
      </c>
      <c r="H14" s="45">
        <f t="shared" si="6"/>
        <v>1.6348394223760891</v>
      </c>
      <c r="I14" s="45">
        <f t="shared" si="6"/>
        <v>1.0952146911621128</v>
      </c>
      <c r="J14" s="45">
        <f t="shared" si="6"/>
        <v>0.76920428240741501</v>
      </c>
    </row>
    <row r="15" spans="1:10">
      <c r="A15" s="42" t="s">
        <v>145</v>
      </c>
      <c r="B15" s="50">
        <f>IF(B3&gt;B19,B3+(B10*B6/B11)*(1-(B19/B3)^-B20)-B9*B19*(B19/B3)^-B20,(1-B9)*B3)</f>
        <v>12.5</v>
      </c>
      <c r="C15" s="50">
        <f t="shared" ref="C15:J15" si="7">IF(C3&gt;C19,C3+(C10*C6/C11)*(1-(C19/C3)^-C20)-C9*C19*(C19/C3)^-C20,(1-C9)*C3)</f>
        <v>29.967724609375029</v>
      </c>
      <c r="D15" s="50">
        <f t="shared" si="7"/>
        <v>93.694140625000003</v>
      </c>
      <c r="E15" s="50">
        <f t="shared" si="7"/>
        <v>128.12096557617187</v>
      </c>
      <c r="F15" s="50">
        <f t="shared" si="7"/>
        <v>156.47793437499999</v>
      </c>
      <c r="G15" s="50">
        <f t="shared" si="7"/>
        <v>182.96176757812501</v>
      </c>
      <c r="H15" s="50">
        <f t="shared" si="7"/>
        <v>208.71644838739067</v>
      </c>
      <c r="I15" s="50">
        <f t="shared" si="7"/>
        <v>234.14012069702147</v>
      </c>
      <c r="J15" s="50">
        <f t="shared" si="7"/>
        <v>259.39607928240741</v>
      </c>
    </row>
    <row r="16" spans="1:10">
      <c r="A16" s="42" t="s">
        <v>230</v>
      </c>
      <c r="B16" s="50">
        <f>IF(B3&gt;B19,(B6/B11)+((1-B9)*B19-(B6/B11))*(B19/B3)^-B20,B9*B3)</f>
        <v>12.5</v>
      </c>
      <c r="C16" s="50">
        <f t="shared" ref="C16:J16" si="8">IF(C3&gt;C19,(C6/C11)+((1-C9)*C19-(C6/C11))*(C19/C3)^-C20,C9*C3)</f>
        <v>29.906259765625038</v>
      </c>
      <c r="D16" s="50">
        <f t="shared" si="8"/>
        <v>79.231484375000008</v>
      </c>
      <c r="E16" s="50">
        <f t="shared" si="8"/>
        <v>91.238282470703126</v>
      </c>
      <c r="F16" s="50">
        <f t="shared" si="8"/>
        <v>95.514000624999994</v>
      </c>
      <c r="G16" s="50">
        <f t="shared" si="8"/>
        <v>97.403935546875005</v>
      </c>
      <c r="H16" s="50">
        <f t="shared" si="8"/>
        <v>98.365160577623911</v>
      </c>
      <c r="I16" s="50">
        <f t="shared" si="8"/>
        <v>98.904785308837887</v>
      </c>
      <c r="J16" s="50">
        <f t="shared" si="8"/>
        <v>99.230795717592585</v>
      </c>
    </row>
    <row r="17" spans="1:10">
      <c r="A17" s="42" t="s">
        <v>327</v>
      </c>
      <c r="B17" s="50">
        <f>IF(B3&gt;B19,B3-(1-B10)*(B6/B11)+((1-B10)*(B6/B11)-B19)*((B19/B3)^-B20),0)</f>
        <v>0</v>
      </c>
      <c r="C17" s="50">
        <f t="shared" ref="C17:J17" si="9">IF(C3&gt;C19,C3-(1-C10)*(C6/C11)+((1-C10)*(C6/C11)-C19)*((C19/C3)^-C20),0)</f>
        <v>6.1464843750000497E-2</v>
      </c>
      <c r="D17" s="50">
        <f t="shared" si="9"/>
        <v>14.462656250000002</v>
      </c>
      <c r="E17" s="50">
        <f t="shared" si="9"/>
        <v>36.88268310546875</v>
      </c>
      <c r="F17" s="50">
        <f t="shared" si="9"/>
        <v>60.963933750000002</v>
      </c>
      <c r="G17" s="50">
        <f t="shared" si="9"/>
        <v>85.557832031250001</v>
      </c>
      <c r="H17" s="50">
        <f t="shared" si="9"/>
        <v>110.35128780976676</v>
      </c>
      <c r="I17" s="50">
        <f t="shared" si="9"/>
        <v>135.23533538818359</v>
      </c>
      <c r="J17" s="50">
        <f t="shared" si="9"/>
        <v>160.16528356481481</v>
      </c>
    </row>
    <row r="18" spans="1:10">
      <c r="A18" s="42" t="s">
        <v>218</v>
      </c>
      <c r="B18" s="50">
        <f>IF(B3&gt;B4,B3-B4,0)</f>
        <v>0</v>
      </c>
      <c r="C18" s="50">
        <f t="shared" ref="C18:J18" si="10">IF(C3&gt;C4,C3-C4,0)</f>
        <v>0</v>
      </c>
      <c r="D18" s="50">
        <f t="shared" si="10"/>
        <v>0</v>
      </c>
      <c r="E18" s="50">
        <f t="shared" si="10"/>
        <v>0</v>
      </c>
      <c r="F18" s="50">
        <f t="shared" si="10"/>
        <v>25</v>
      </c>
      <c r="G18" s="50">
        <f t="shared" si="10"/>
        <v>50</v>
      </c>
      <c r="H18" s="50">
        <f t="shared" si="10"/>
        <v>75</v>
      </c>
      <c r="I18" s="50">
        <f t="shared" si="10"/>
        <v>100</v>
      </c>
      <c r="J18" s="50">
        <f t="shared" si="10"/>
        <v>125</v>
      </c>
    </row>
    <row r="19" spans="1:10" ht="14.25">
      <c r="A19" s="42" t="s">
        <v>212</v>
      </c>
      <c r="B19" s="4">
        <f>(1-B10)*(B6/B11)*(-B20/(-B20+1))</f>
        <v>48.749999999999993</v>
      </c>
      <c r="C19" s="4">
        <f t="shared" ref="C19:J19" si="11">(1-C10)*(C6/C11)*(-C20/(-C20+1))</f>
        <v>48.749999999999993</v>
      </c>
      <c r="D19" s="4">
        <f t="shared" si="11"/>
        <v>48.749999999999993</v>
      </c>
      <c r="E19" s="4">
        <f t="shared" si="11"/>
        <v>48.749999999999993</v>
      </c>
      <c r="F19" s="4">
        <f t="shared" si="11"/>
        <v>48.749999999999993</v>
      </c>
      <c r="G19" s="4">
        <f t="shared" si="11"/>
        <v>48.749999999999993</v>
      </c>
      <c r="H19" s="4">
        <f t="shared" si="11"/>
        <v>48.749999999999993</v>
      </c>
      <c r="I19" s="4">
        <f t="shared" si="11"/>
        <v>48.749999999999993</v>
      </c>
      <c r="J19" s="4">
        <f t="shared" si="11"/>
        <v>48.749999999999993</v>
      </c>
    </row>
    <row r="20" spans="1:10" ht="14.25">
      <c r="A20" s="2" t="s">
        <v>130</v>
      </c>
      <c r="B20" s="53">
        <f>(0.5-(B11-B7)/(B8^2)-SQRT((0.5-(B11-B7)/(B8^2))^2+2*B11/(B8^2)))</f>
        <v>-2.9999999999999991</v>
      </c>
      <c r="C20" s="53">
        <f t="shared" ref="C20:J20" si="12">(0.5-(C11-C7)/(C8^2)-SQRT((0.5-(C11-C7)/(C8^2))^2+2*C11/(C8^2)))</f>
        <v>-2.9999999999999991</v>
      </c>
      <c r="D20" s="53">
        <f t="shared" si="12"/>
        <v>-2.9999999999999991</v>
      </c>
      <c r="E20" s="53">
        <f t="shared" si="12"/>
        <v>-2.9999999999999991</v>
      </c>
      <c r="F20" s="53">
        <f t="shared" si="12"/>
        <v>-2.9999999999999991</v>
      </c>
      <c r="G20" s="53">
        <f t="shared" si="12"/>
        <v>-2.9999999999999991</v>
      </c>
      <c r="H20" s="53">
        <f t="shared" si="12"/>
        <v>-2.9999999999999991</v>
      </c>
      <c r="I20" s="53">
        <f t="shared" si="12"/>
        <v>-2.9999999999999991</v>
      </c>
      <c r="J20" s="53">
        <f t="shared" si="12"/>
        <v>-2.9999999999999991</v>
      </c>
    </row>
    <row r="22" spans="1:10">
      <c r="B22" s="14" t="s">
        <v>140</v>
      </c>
    </row>
    <row r="23" spans="1:10">
      <c r="B23" s="14" t="s">
        <v>140</v>
      </c>
    </row>
    <row r="24" spans="1:10">
      <c r="B24" s="14" t="s">
        <v>140</v>
      </c>
    </row>
    <row r="25" spans="1:10">
      <c r="A25" s="42" t="s">
        <v>140</v>
      </c>
      <c r="B25" s="75" t="s">
        <v>140</v>
      </c>
    </row>
    <row r="26" spans="1:10">
      <c r="A26" s="2" t="s">
        <v>140</v>
      </c>
      <c r="B26" s="88" t="s">
        <v>140</v>
      </c>
    </row>
    <row r="44" spans="1:2">
      <c r="A44" t="s">
        <v>228</v>
      </c>
      <c r="B44" s="4">
        <v>6</v>
      </c>
    </row>
    <row r="45" spans="1:2">
      <c r="A45" s="2" t="s">
        <v>187</v>
      </c>
      <c r="B45" s="4">
        <v>0</v>
      </c>
    </row>
    <row r="46" spans="1:2" ht="15">
      <c r="A46" s="73" t="s">
        <v>3</v>
      </c>
      <c r="B46" s="74">
        <v>0.2</v>
      </c>
    </row>
    <row r="47" spans="1:2">
      <c r="A47" s="2" t="s">
        <v>141</v>
      </c>
      <c r="B47" s="74">
        <v>0.5</v>
      </c>
    </row>
    <row r="48" spans="1:2">
      <c r="A48" t="s">
        <v>330</v>
      </c>
      <c r="B48" s="4">
        <f>B4</f>
        <v>100</v>
      </c>
    </row>
    <row r="49" spans="1:2">
      <c r="A49" s="42" t="s">
        <v>319</v>
      </c>
      <c r="B49" s="45" t="s">
        <v>320</v>
      </c>
    </row>
    <row r="50" spans="1:2">
      <c r="A50" s="42" t="s">
        <v>145</v>
      </c>
      <c r="B50" s="50" t="s">
        <v>331</v>
      </c>
    </row>
    <row r="51" spans="1:2">
      <c r="A51" s="42" t="s">
        <v>230</v>
      </c>
      <c r="B51" s="50" t="s">
        <v>332</v>
      </c>
    </row>
    <row r="52" spans="1:2">
      <c r="A52" s="42" t="s">
        <v>327</v>
      </c>
      <c r="B52" s="50" t="s">
        <v>328</v>
      </c>
    </row>
    <row r="53" spans="1:2">
      <c r="A53" s="42" t="s">
        <v>218</v>
      </c>
      <c r="B53" s="50" t="s">
        <v>329</v>
      </c>
    </row>
    <row r="54" spans="1:2" ht="14.25">
      <c r="A54" s="42" t="s">
        <v>212</v>
      </c>
      <c r="B54" s="4" t="s">
        <v>324</v>
      </c>
    </row>
    <row r="55" spans="1:2" ht="14.25">
      <c r="A55" s="2" t="s">
        <v>130</v>
      </c>
      <c r="B55" s="53" t="s">
        <v>325</v>
      </c>
    </row>
  </sheetData>
  <printOptions horizontalCentered="1" headings="1"/>
  <pageMargins left="0.7" right="0.7" top="0.75" bottom="0.75" header="0.3" footer="0.3"/>
  <pageSetup scale="7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3"/>
  <sheetViews>
    <sheetView topLeftCell="A14" workbookViewId="0">
      <selection activeCell="B34" sqref="B34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t="s">
        <v>38</v>
      </c>
      <c r="B2">
        <v>0</v>
      </c>
      <c r="C2">
        <f>B2+25</f>
        <v>25</v>
      </c>
      <c r="D2">
        <f t="shared" ref="D2:N2" si="0">C2+25</f>
        <v>50</v>
      </c>
      <c r="E2">
        <f t="shared" si="0"/>
        <v>75</v>
      </c>
      <c r="F2">
        <f t="shared" si="0"/>
        <v>100</v>
      </c>
      <c r="G2">
        <f t="shared" si="0"/>
        <v>125</v>
      </c>
      <c r="H2">
        <f t="shared" si="0"/>
        <v>150</v>
      </c>
      <c r="I2">
        <f t="shared" si="0"/>
        <v>175</v>
      </c>
      <c r="J2">
        <f t="shared" si="0"/>
        <v>200</v>
      </c>
      <c r="K2">
        <f t="shared" si="0"/>
        <v>225</v>
      </c>
      <c r="L2">
        <f t="shared" si="0"/>
        <v>250</v>
      </c>
      <c r="M2">
        <f t="shared" si="0"/>
        <v>275</v>
      </c>
      <c r="N2">
        <f t="shared" si="0"/>
        <v>300</v>
      </c>
    </row>
    <row r="3" spans="1:14">
      <c r="A3" t="s">
        <v>87</v>
      </c>
      <c r="B3">
        <f>0-$B$6</f>
        <v>-150</v>
      </c>
      <c r="C3">
        <f>B3+25</f>
        <v>-125</v>
      </c>
      <c r="D3">
        <f t="shared" ref="D3:N3" si="1">C3+25</f>
        <v>-100</v>
      </c>
      <c r="E3">
        <f t="shared" si="1"/>
        <v>-75</v>
      </c>
      <c r="F3">
        <f t="shared" si="1"/>
        <v>-50</v>
      </c>
      <c r="G3">
        <f t="shared" si="1"/>
        <v>-25</v>
      </c>
      <c r="H3">
        <f t="shared" si="1"/>
        <v>0</v>
      </c>
      <c r="I3">
        <f t="shared" si="1"/>
        <v>25</v>
      </c>
      <c r="J3">
        <f t="shared" si="1"/>
        <v>50</v>
      </c>
      <c r="K3">
        <f t="shared" si="1"/>
        <v>75</v>
      </c>
      <c r="L3">
        <f t="shared" si="1"/>
        <v>100</v>
      </c>
      <c r="M3">
        <f t="shared" si="1"/>
        <v>125</v>
      </c>
      <c r="N3">
        <f t="shared" si="1"/>
        <v>150</v>
      </c>
    </row>
    <row r="4" spans="1:14">
      <c r="A4" t="s">
        <v>109</v>
      </c>
      <c r="B4">
        <f t="shared" ref="B4:N4" si="2">-B3-$B$7</f>
        <v>150</v>
      </c>
      <c r="C4">
        <f t="shared" si="2"/>
        <v>125</v>
      </c>
      <c r="D4">
        <f t="shared" si="2"/>
        <v>100</v>
      </c>
      <c r="E4">
        <f t="shared" si="2"/>
        <v>75</v>
      </c>
      <c r="F4">
        <f t="shared" si="2"/>
        <v>50</v>
      </c>
      <c r="G4">
        <f t="shared" si="2"/>
        <v>25</v>
      </c>
      <c r="H4">
        <f t="shared" si="2"/>
        <v>0</v>
      </c>
      <c r="I4">
        <f t="shared" si="2"/>
        <v>-25</v>
      </c>
      <c r="J4">
        <f t="shared" si="2"/>
        <v>-50</v>
      </c>
      <c r="K4">
        <f t="shared" si="2"/>
        <v>-75</v>
      </c>
      <c r="L4">
        <f t="shared" si="2"/>
        <v>-100</v>
      </c>
      <c r="M4">
        <f t="shared" si="2"/>
        <v>-125</v>
      </c>
      <c r="N4">
        <f t="shared" si="2"/>
        <v>-150</v>
      </c>
    </row>
    <row r="5" spans="1:14">
      <c r="A5" t="s">
        <v>86</v>
      </c>
      <c r="B5">
        <f t="shared" ref="B5:N5" si="3">B3+B4</f>
        <v>0</v>
      </c>
      <c r="C5">
        <f t="shared" si="3"/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 t="shared" si="3"/>
        <v>0</v>
      </c>
      <c r="N5">
        <f t="shared" si="3"/>
        <v>0</v>
      </c>
    </row>
    <row r="6" spans="1:14">
      <c r="A6" t="s">
        <v>113</v>
      </c>
      <c r="B6">
        <v>150</v>
      </c>
      <c r="C6" t="s">
        <v>140</v>
      </c>
      <c r="D6" t="s">
        <v>140</v>
      </c>
      <c r="E6" t="str">
        <f t="shared" ref="E6:N6" si="4">D6</f>
        <v xml:space="preserve"> </v>
      </c>
      <c r="F6" t="str">
        <f t="shared" si="4"/>
        <v xml:space="preserve"> </v>
      </c>
      <c r="G6" t="str">
        <f t="shared" si="4"/>
        <v xml:space="preserve"> </v>
      </c>
      <c r="H6" t="str">
        <f t="shared" si="4"/>
        <v xml:space="preserve"> </v>
      </c>
      <c r="I6" t="str">
        <f t="shared" si="4"/>
        <v xml:space="preserve"> </v>
      </c>
      <c r="J6" t="str">
        <f t="shared" si="4"/>
        <v xml:space="preserve"> </v>
      </c>
      <c r="K6" t="str">
        <f t="shared" si="4"/>
        <v xml:space="preserve"> </v>
      </c>
      <c r="L6" t="str">
        <f t="shared" si="4"/>
        <v xml:space="preserve"> </v>
      </c>
      <c r="M6" t="str">
        <f t="shared" si="4"/>
        <v xml:space="preserve"> </v>
      </c>
      <c r="N6" t="str">
        <f t="shared" si="4"/>
        <v xml:space="preserve"> </v>
      </c>
    </row>
    <row r="7" spans="1:14">
      <c r="A7" t="s">
        <v>110</v>
      </c>
      <c r="B7">
        <f>B33</f>
        <v>0</v>
      </c>
    </row>
    <row r="8" spans="1:14">
      <c r="A8" s="27" t="s">
        <v>114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29" t="s">
        <v>111</v>
      </c>
    </row>
    <row r="10" spans="1:14">
      <c r="A10" t="str">
        <f>A4</f>
        <v>SHORT FUTURES POSITION</v>
      </c>
      <c r="B10" s="30" t="s">
        <v>147</v>
      </c>
    </row>
    <row r="11" spans="1:14">
      <c r="A11" t="s">
        <v>86</v>
      </c>
      <c r="B11" t="s">
        <v>99</v>
      </c>
    </row>
    <row r="33" spans="1:2">
      <c r="A33" t="s">
        <v>110</v>
      </c>
      <c r="B33">
        <v>0</v>
      </c>
    </row>
  </sheetData>
  <phoneticPr fontId="8" type="noConversion"/>
  <printOptions headings="1"/>
  <pageMargins left="0.75" right="0.75" top="1" bottom="1" header="0.5" footer="0.5"/>
  <pageSetup paperSize="9" scale="80" orientation="portrait" horizontalDpi="4294967293" vertic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3"/>
  <sheetViews>
    <sheetView topLeftCell="A11" workbookViewId="0">
      <selection activeCell="B34" sqref="B34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t="s">
        <v>38</v>
      </c>
      <c r="B2">
        <v>0</v>
      </c>
      <c r="C2">
        <f>B2+25</f>
        <v>25</v>
      </c>
      <c r="D2">
        <f t="shared" ref="D2:N2" si="0">C2+25</f>
        <v>50</v>
      </c>
      <c r="E2">
        <f t="shared" si="0"/>
        <v>75</v>
      </c>
      <c r="F2">
        <f t="shared" si="0"/>
        <v>100</v>
      </c>
      <c r="G2">
        <f t="shared" si="0"/>
        <v>125</v>
      </c>
      <c r="H2">
        <f t="shared" si="0"/>
        <v>150</v>
      </c>
      <c r="I2">
        <f t="shared" si="0"/>
        <v>175</v>
      </c>
      <c r="J2">
        <f t="shared" si="0"/>
        <v>200</v>
      </c>
      <c r="K2">
        <f t="shared" si="0"/>
        <v>225</v>
      </c>
      <c r="L2">
        <f t="shared" si="0"/>
        <v>250</v>
      </c>
      <c r="M2">
        <f t="shared" si="0"/>
        <v>275</v>
      </c>
      <c r="N2">
        <f t="shared" si="0"/>
        <v>300</v>
      </c>
    </row>
    <row r="3" spans="1:14">
      <c r="A3" t="s">
        <v>87</v>
      </c>
      <c r="B3" s="31">
        <f>B2-$B$6</f>
        <v>-150</v>
      </c>
      <c r="C3" s="31">
        <f t="shared" ref="C3:N3" si="1">C2-$B$6</f>
        <v>-125</v>
      </c>
      <c r="D3" s="31">
        <f t="shared" si="1"/>
        <v>-100</v>
      </c>
      <c r="E3" s="31">
        <f t="shared" si="1"/>
        <v>-75</v>
      </c>
      <c r="F3" s="31">
        <f t="shared" si="1"/>
        <v>-50</v>
      </c>
      <c r="G3" s="31">
        <f t="shared" si="1"/>
        <v>-25</v>
      </c>
      <c r="H3" s="31">
        <f t="shared" si="1"/>
        <v>0</v>
      </c>
      <c r="I3" s="31">
        <f t="shared" si="1"/>
        <v>25</v>
      </c>
      <c r="J3" s="31">
        <f t="shared" si="1"/>
        <v>50</v>
      </c>
      <c r="K3" s="31">
        <f t="shared" si="1"/>
        <v>75</v>
      </c>
      <c r="L3" s="31">
        <f t="shared" si="1"/>
        <v>100</v>
      </c>
      <c r="M3" s="31">
        <f t="shared" si="1"/>
        <v>125</v>
      </c>
      <c r="N3" s="31">
        <f t="shared" si="1"/>
        <v>150</v>
      </c>
    </row>
    <row r="4" spans="1:14">
      <c r="A4" t="s">
        <v>88</v>
      </c>
      <c r="B4" s="31">
        <f t="shared" ref="B4:N4" si="2">IF(B3&gt;0,-B3+$B$7,$B$7)</f>
        <v>25</v>
      </c>
      <c r="C4" s="31">
        <f t="shared" si="2"/>
        <v>25</v>
      </c>
      <c r="D4" s="31">
        <f t="shared" si="2"/>
        <v>25</v>
      </c>
      <c r="E4" s="31">
        <f t="shared" si="2"/>
        <v>25</v>
      </c>
      <c r="F4" s="31">
        <f t="shared" si="2"/>
        <v>25</v>
      </c>
      <c r="G4" s="31">
        <f t="shared" si="2"/>
        <v>25</v>
      </c>
      <c r="H4" s="31">
        <f t="shared" si="2"/>
        <v>25</v>
      </c>
      <c r="I4" s="31">
        <f t="shared" si="2"/>
        <v>0</v>
      </c>
      <c r="J4" s="31">
        <f t="shared" si="2"/>
        <v>-25</v>
      </c>
      <c r="K4" s="31">
        <f t="shared" si="2"/>
        <v>-50</v>
      </c>
      <c r="L4" s="31">
        <f t="shared" si="2"/>
        <v>-75</v>
      </c>
      <c r="M4" s="31">
        <f t="shared" si="2"/>
        <v>-100</v>
      </c>
      <c r="N4" s="31">
        <f t="shared" si="2"/>
        <v>-125</v>
      </c>
    </row>
    <row r="5" spans="1:14">
      <c r="A5" t="s">
        <v>86</v>
      </c>
      <c r="B5" s="31">
        <f t="shared" ref="B5:N5" si="3">B3+B4</f>
        <v>-125</v>
      </c>
      <c r="C5" s="31">
        <f t="shared" si="3"/>
        <v>-100</v>
      </c>
      <c r="D5" s="31">
        <f t="shared" si="3"/>
        <v>-75</v>
      </c>
      <c r="E5" s="31">
        <f t="shared" si="3"/>
        <v>-50</v>
      </c>
      <c r="F5" s="31">
        <f t="shared" si="3"/>
        <v>-25</v>
      </c>
      <c r="G5" s="31">
        <f t="shared" si="3"/>
        <v>0</v>
      </c>
      <c r="H5" s="31">
        <f t="shared" si="3"/>
        <v>25</v>
      </c>
      <c r="I5" s="31">
        <f t="shared" si="3"/>
        <v>25</v>
      </c>
      <c r="J5" s="31">
        <f t="shared" si="3"/>
        <v>25</v>
      </c>
      <c r="K5" s="31">
        <f t="shared" si="3"/>
        <v>25</v>
      </c>
      <c r="L5" s="31">
        <f t="shared" si="3"/>
        <v>25</v>
      </c>
      <c r="M5" s="31">
        <f t="shared" si="3"/>
        <v>25</v>
      </c>
      <c r="N5" s="31">
        <f t="shared" si="3"/>
        <v>25</v>
      </c>
    </row>
    <row r="6" spans="1:14">
      <c r="A6" t="s">
        <v>113</v>
      </c>
      <c r="B6" s="31">
        <v>150</v>
      </c>
      <c r="C6" s="31" t="s">
        <v>140</v>
      </c>
      <c r="D6" s="31" t="s">
        <v>140</v>
      </c>
      <c r="E6" s="31" t="str">
        <f t="shared" ref="E6:N6" si="4">D6</f>
        <v xml:space="preserve"> </v>
      </c>
      <c r="F6" s="31" t="str">
        <f t="shared" si="4"/>
        <v xml:space="preserve"> </v>
      </c>
      <c r="G6" s="31" t="str">
        <f t="shared" si="4"/>
        <v xml:space="preserve"> </v>
      </c>
      <c r="H6" s="31" t="str">
        <f t="shared" si="4"/>
        <v xml:space="preserve"> </v>
      </c>
      <c r="I6" s="31" t="str">
        <f t="shared" si="4"/>
        <v xml:space="preserve"> </v>
      </c>
      <c r="J6" s="31" t="str">
        <f t="shared" si="4"/>
        <v xml:space="preserve"> </v>
      </c>
      <c r="K6" s="31" t="str">
        <f t="shared" si="4"/>
        <v xml:space="preserve"> </v>
      </c>
      <c r="L6" s="31" t="str">
        <f t="shared" si="4"/>
        <v xml:space="preserve"> </v>
      </c>
      <c r="M6" s="31" t="str">
        <f t="shared" si="4"/>
        <v xml:space="preserve"> </v>
      </c>
      <c r="N6" s="31" t="str">
        <f t="shared" si="4"/>
        <v xml:space="preserve"> </v>
      </c>
    </row>
    <row r="7" spans="1:14">
      <c r="A7" t="s">
        <v>85</v>
      </c>
      <c r="B7" s="31">
        <f>B33</f>
        <v>25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2.5">
      <c r="A8" s="32" t="s">
        <v>115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29" t="s">
        <v>89</v>
      </c>
    </row>
    <row r="10" spans="1:14">
      <c r="A10" t="s">
        <v>88</v>
      </c>
      <c r="B10" s="31" t="s">
        <v>146</v>
      </c>
    </row>
    <row r="11" spans="1:14">
      <c r="A11" t="s">
        <v>86</v>
      </c>
      <c r="B11" s="31" t="s">
        <v>99</v>
      </c>
    </row>
    <row r="12" spans="1:14">
      <c r="A12" s="29"/>
    </row>
    <row r="33" spans="1:2">
      <c r="A33" t="s">
        <v>85</v>
      </c>
      <c r="B33">
        <v>25</v>
      </c>
    </row>
  </sheetData>
  <phoneticPr fontId="8" type="noConversion"/>
  <printOptions headings="1"/>
  <pageMargins left="0.75" right="0.75" top="1" bottom="1" header="0.5" footer="0.5"/>
  <pageSetup paperSize="9" scale="80" orientation="portrait" horizontalDpi="4294967293" vertic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2"/>
  <sheetViews>
    <sheetView topLeftCell="A13" workbookViewId="0">
      <selection activeCell="B32" sqref="B32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t="s">
        <v>95</v>
      </c>
      <c r="B2" s="31">
        <v>-150</v>
      </c>
      <c r="C2" s="31">
        <f t="shared" ref="C2:N2" si="0">B2+25</f>
        <v>-125</v>
      </c>
      <c r="D2" s="31">
        <f t="shared" si="0"/>
        <v>-100</v>
      </c>
      <c r="E2" s="31">
        <f t="shared" si="0"/>
        <v>-75</v>
      </c>
      <c r="F2" s="31">
        <f t="shared" si="0"/>
        <v>-50</v>
      </c>
      <c r="G2" s="31">
        <f t="shared" si="0"/>
        <v>-25</v>
      </c>
      <c r="H2" s="31">
        <f t="shared" si="0"/>
        <v>0</v>
      </c>
      <c r="I2" s="31">
        <f t="shared" si="0"/>
        <v>25</v>
      </c>
      <c r="J2" s="31">
        <f t="shared" si="0"/>
        <v>50</v>
      </c>
      <c r="K2" s="31">
        <f t="shared" si="0"/>
        <v>75</v>
      </c>
      <c r="L2" s="31">
        <f t="shared" si="0"/>
        <v>100</v>
      </c>
      <c r="M2" s="31">
        <f t="shared" si="0"/>
        <v>125</v>
      </c>
      <c r="N2" s="31">
        <f t="shared" si="0"/>
        <v>150</v>
      </c>
    </row>
    <row r="3" spans="1:14">
      <c r="A3" t="s">
        <v>96</v>
      </c>
      <c r="B3" s="31">
        <f t="shared" ref="B3:N3" si="1">-B2</f>
        <v>150</v>
      </c>
      <c r="C3" s="31">
        <f t="shared" si="1"/>
        <v>125</v>
      </c>
      <c r="D3" s="31">
        <f t="shared" si="1"/>
        <v>100</v>
      </c>
      <c r="E3" s="31">
        <f t="shared" si="1"/>
        <v>75</v>
      </c>
      <c r="F3" s="31">
        <f t="shared" si="1"/>
        <v>50</v>
      </c>
      <c r="G3" s="31">
        <f t="shared" si="1"/>
        <v>25</v>
      </c>
      <c r="H3" s="31">
        <f t="shared" si="1"/>
        <v>0</v>
      </c>
      <c r="I3" s="31">
        <f t="shared" si="1"/>
        <v>-25</v>
      </c>
      <c r="J3" s="31">
        <f t="shared" si="1"/>
        <v>-50</v>
      </c>
      <c r="K3" s="31">
        <f t="shared" si="1"/>
        <v>-75</v>
      </c>
      <c r="L3" s="31">
        <f t="shared" si="1"/>
        <v>-100</v>
      </c>
      <c r="M3" s="31">
        <f t="shared" si="1"/>
        <v>-125</v>
      </c>
      <c r="N3" s="31">
        <f t="shared" si="1"/>
        <v>-150</v>
      </c>
    </row>
    <row r="4" spans="1:14">
      <c r="A4" t="s">
        <v>94</v>
      </c>
      <c r="B4" s="31">
        <f t="shared" ref="B4:N4" si="2">IF(B2&gt;0,B2-$B$7,-$B$7)</f>
        <v>-10</v>
      </c>
      <c r="C4" s="31">
        <f t="shared" si="2"/>
        <v>-10</v>
      </c>
      <c r="D4" s="31">
        <f t="shared" si="2"/>
        <v>-10</v>
      </c>
      <c r="E4" s="31">
        <f t="shared" si="2"/>
        <v>-10</v>
      </c>
      <c r="F4" s="31">
        <f t="shared" si="2"/>
        <v>-10</v>
      </c>
      <c r="G4" s="31">
        <f t="shared" si="2"/>
        <v>-10</v>
      </c>
      <c r="H4" s="31">
        <f t="shared" si="2"/>
        <v>-10</v>
      </c>
      <c r="I4" s="31">
        <f t="shared" si="2"/>
        <v>15</v>
      </c>
      <c r="J4" s="31">
        <f t="shared" si="2"/>
        <v>40</v>
      </c>
      <c r="K4" s="31">
        <f t="shared" si="2"/>
        <v>65</v>
      </c>
      <c r="L4" s="31">
        <f t="shared" si="2"/>
        <v>90</v>
      </c>
      <c r="M4" s="31">
        <f t="shared" si="2"/>
        <v>115</v>
      </c>
      <c r="N4" s="31">
        <f t="shared" si="2"/>
        <v>140</v>
      </c>
    </row>
    <row r="5" spans="1:14">
      <c r="A5" t="s">
        <v>86</v>
      </c>
      <c r="B5" s="31">
        <f t="shared" ref="B5:N5" si="3">B3+B4</f>
        <v>140</v>
      </c>
      <c r="C5" s="31">
        <f t="shared" si="3"/>
        <v>115</v>
      </c>
      <c r="D5" s="31">
        <f t="shared" si="3"/>
        <v>90</v>
      </c>
      <c r="E5" s="31">
        <f t="shared" si="3"/>
        <v>65</v>
      </c>
      <c r="F5" s="31">
        <f t="shared" si="3"/>
        <v>40</v>
      </c>
      <c r="G5" s="31">
        <f t="shared" si="3"/>
        <v>15</v>
      </c>
      <c r="H5" s="31">
        <f t="shared" si="3"/>
        <v>-10</v>
      </c>
      <c r="I5" s="31">
        <f t="shared" si="3"/>
        <v>-10</v>
      </c>
      <c r="J5" s="31">
        <f t="shared" si="3"/>
        <v>-10</v>
      </c>
      <c r="K5" s="31">
        <f t="shared" si="3"/>
        <v>-10</v>
      </c>
      <c r="L5" s="31">
        <f t="shared" si="3"/>
        <v>-10</v>
      </c>
      <c r="M5" s="31">
        <f t="shared" si="3"/>
        <v>-10</v>
      </c>
      <c r="N5" s="31">
        <f t="shared" si="3"/>
        <v>-10</v>
      </c>
    </row>
    <row r="6" spans="1:14">
      <c r="A6" t="s">
        <v>113</v>
      </c>
      <c r="B6" s="31">
        <v>150</v>
      </c>
      <c r="C6" s="31" t="s">
        <v>140</v>
      </c>
      <c r="D6" s="31" t="s">
        <v>140</v>
      </c>
      <c r="E6" s="31" t="str">
        <f t="shared" ref="E6:N6" si="4">D6</f>
        <v xml:space="preserve"> </v>
      </c>
      <c r="F6" s="31" t="str">
        <f t="shared" si="4"/>
        <v xml:space="preserve"> </v>
      </c>
      <c r="G6" s="31" t="str">
        <f t="shared" si="4"/>
        <v xml:space="preserve"> </v>
      </c>
      <c r="H6" s="31" t="str">
        <f t="shared" si="4"/>
        <v xml:space="preserve"> </v>
      </c>
      <c r="I6" s="31" t="str">
        <f t="shared" si="4"/>
        <v xml:space="preserve"> </v>
      </c>
      <c r="J6" s="31" t="str">
        <f t="shared" si="4"/>
        <v xml:space="preserve"> </v>
      </c>
      <c r="K6" s="31" t="str">
        <f t="shared" si="4"/>
        <v xml:space="preserve"> </v>
      </c>
      <c r="L6" s="31" t="str">
        <f t="shared" si="4"/>
        <v xml:space="preserve"> </v>
      </c>
      <c r="M6" s="31" t="str">
        <f t="shared" si="4"/>
        <v xml:space="preserve"> </v>
      </c>
      <c r="N6" s="31" t="str">
        <f t="shared" si="4"/>
        <v xml:space="preserve"> </v>
      </c>
    </row>
    <row r="7" spans="1:14">
      <c r="A7" t="s">
        <v>85</v>
      </c>
      <c r="B7" s="31">
        <f>B32</f>
        <v>10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2.5">
      <c r="A8" s="32" t="s">
        <v>116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29" t="s">
        <v>97</v>
      </c>
    </row>
    <row r="10" spans="1:14">
      <c r="A10" t="str">
        <f>A4</f>
        <v>BUY REAL CALL INTRINSIC</v>
      </c>
      <c r="B10" t="s">
        <v>98</v>
      </c>
    </row>
    <row r="11" spans="1:14">
      <c r="A11" t="s">
        <v>86</v>
      </c>
      <c r="B11" t="s">
        <v>99</v>
      </c>
    </row>
    <row r="12" spans="1:14">
      <c r="A12" s="29"/>
    </row>
    <row r="32" spans="1:2">
      <c r="A32" t="s">
        <v>85</v>
      </c>
      <c r="B32">
        <v>10</v>
      </c>
    </row>
  </sheetData>
  <phoneticPr fontId="8" type="noConversion"/>
  <printOptions headings="1"/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2"/>
  <sheetViews>
    <sheetView topLeftCell="A12" workbookViewId="0">
      <selection activeCell="J29" sqref="J29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t="s">
        <v>87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t="s">
        <v>91</v>
      </c>
      <c r="B3">
        <f>IF(B2&lt;0,-B2-$B$6,-$B$6)</f>
        <v>140</v>
      </c>
      <c r="C3">
        <f t="shared" ref="C3:N3" si="1">IF(C2&lt;0,-C2-$B$6,-$B$6)</f>
        <v>115</v>
      </c>
      <c r="D3">
        <f t="shared" si="1"/>
        <v>90</v>
      </c>
      <c r="E3">
        <f t="shared" si="1"/>
        <v>65</v>
      </c>
      <c r="F3">
        <f t="shared" si="1"/>
        <v>40</v>
      </c>
      <c r="G3">
        <f t="shared" si="1"/>
        <v>15</v>
      </c>
      <c r="H3">
        <f t="shared" si="1"/>
        <v>-10</v>
      </c>
      <c r="I3">
        <f t="shared" si="1"/>
        <v>-10</v>
      </c>
      <c r="J3">
        <f t="shared" si="1"/>
        <v>-10</v>
      </c>
      <c r="K3">
        <f t="shared" si="1"/>
        <v>-10</v>
      </c>
      <c r="L3">
        <f t="shared" si="1"/>
        <v>-10</v>
      </c>
      <c r="M3">
        <f t="shared" si="1"/>
        <v>-10</v>
      </c>
      <c r="N3">
        <f t="shared" si="1"/>
        <v>-10</v>
      </c>
    </row>
    <row r="4" spans="1:14">
      <c r="A4" t="s">
        <v>86</v>
      </c>
      <c r="B4">
        <f>B3+B2</f>
        <v>-10</v>
      </c>
      <c r="C4">
        <f t="shared" ref="C4:N4" si="2">C3+C2</f>
        <v>-10</v>
      </c>
      <c r="D4">
        <f t="shared" si="2"/>
        <v>-10</v>
      </c>
      <c r="E4">
        <f t="shared" si="2"/>
        <v>-10</v>
      </c>
      <c r="F4">
        <f t="shared" si="2"/>
        <v>-10</v>
      </c>
      <c r="G4">
        <f t="shared" si="2"/>
        <v>-10</v>
      </c>
      <c r="H4">
        <f t="shared" si="2"/>
        <v>-10</v>
      </c>
      <c r="I4">
        <f t="shared" si="2"/>
        <v>15</v>
      </c>
      <c r="J4">
        <f t="shared" si="2"/>
        <v>40</v>
      </c>
      <c r="K4">
        <f t="shared" si="2"/>
        <v>65</v>
      </c>
      <c r="L4">
        <f t="shared" si="2"/>
        <v>90</v>
      </c>
      <c r="M4">
        <f t="shared" si="2"/>
        <v>115</v>
      </c>
      <c r="N4">
        <f t="shared" si="2"/>
        <v>140</v>
      </c>
    </row>
    <row r="5" spans="1:14">
      <c r="A5" t="s">
        <v>113</v>
      </c>
      <c r="B5">
        <v>150</v>
      </c>
      <c r="C5" t="s">
        <v>140</v>
      </c>
      <c r="D5" t="s">
        <v>140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85</v>
      </c>
      <c r="B6">
        <v>10</v>
      </c>
    </row>
    <row r="7" spans="1:14">
      <c r="A7" s="27" t="s">
        <v>117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>
      <c r="A8" s="29" t="s">
        <v>92</v>
      </c>
    </row>
    <row r="9" spans="1:14">
      <c r="A9" t="str">
        <f>A3</f>
        <v>BUY REAL PUT INTRINSIC</v>
      </c>
      <c r="B9" t="s">
        <v>93</v>
      </c>
    </row>
    <row r="10" spans="1:14">
      <c r="A10" t="str">
        <f>A4</f>
        <v>STRATEGY RESULT</v>
      </c>
      <c r="B10" t="s">
        <v>90</v>
      </c>
    </row>
    <row r="32" spans="1:2">
      <c r="A32" t="s">
        <v>85</v>
      </c>
      <c r="B32">
        <v>25</v>
      </c>
    </row>
  </sheetData>
  <phoneticPr fontId="8" type="noConversion"/>
  <printOptions horizontalCentered="1" headings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2"/>
  <sheetViews>
    <sheetView workbookViewId="0">
      <selection activeCell="A32" sqref="A1:N32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t="s">
        <v>95</v>
      </c>
      <c r="B2">
        <f>0-$B$6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t="s">
        <v>96</v>
      </c>
      <c r="B3">
        <f>-B2</f>
        <v>150</v>
      </c>
      <c r="C3">
        <f t="shared" ref="C3:N3" si="1">-C2</f>
        <v>125</v>
      </c>
      <c r="D3">
        <f t="shared" si="1"/>
        <v>100</v>
      </c>
      <c r="E3">
        <f t="shared" si="1"/>
        <v>75</v>
      </c>
      <c r="F3">
        <f t="shared" si="1"/>
        <v>50</v>
      </c>
      <c r="G3">
        <f t="shared" si="1"/>
        <v>25</v>
      </c>
      <c r="H3">
        <f t="shared" si="1"/>
        <v>0</v>
      </c>
      <c r="I3">
        <f t="shared" si="1"/>
        <v>-25</v>
      </c>
      <c r="J3">
        <f t="shared" si="1"/>
        <v>-50</v>
      </c>
      <c r="K3">
        <f t="shared" si="1"/>
        <v>-75</v>
      </c>
      <c r="L3">
        <f t="shared" si="1"/>
        <v>-100</v>
      </c>
      <c r="M3">
        <f t="shared" si="1"/>
        <v>-125</v>
      </c>
      <c r="N3">
        <f t="shared" si="1"/>
        <v>-150</v>
      </c>
    </row>
    <row r="4" spans="1:14">
      <c r="A4" t="s">
        <v>100</v>
      </c>
      <c r="B4">
        <f>IF(B2&lt;0,B2+$B$7,$B$7)</f>
        <v>-125</v>
      </c>
      <c r="C4">
        <f t="shared" ref="C4:N4" si="2">IF(C2&lt;0,C2+$B$7,$B$7)</f>
        <v>-100</v>
      </c>
      <c r="D4">
        <f t="shared" si="2"/>
        <v>-75</v>
      </c>
      <c r="E4">
        <f t="shared" si="2"/>
        <v>-50</v>
      </c>
      <c r="F4">
        <f t="shared" si="2"/>
        <v>-25</v>
      </c>
      <c r="G4">
        <f t="shared" si="2"/>
        <v>0</v>
      </c>
      <c r="H4">
        <f t="shared" si="2"/>
        <v>25</v>
      </c>
      <c r="I4">
        <f t="shared" si="2"/>
        <v>25</v>
      </c>
      <c r="J4">
        <f t="shared" si="2"/>
        <v>25</v>
      </c>
      <c r="K4">
        <f t="shared" si="2"/>
        <v>25</v>
      </c>
      <c r="L4">
        <f t="shared" si="2"/>
        <v>25</v>
      </c>
      <c r="M4">
        <f t="shared" si="2"/>
        <v>25</v>
      </c>
      <c r="N4">
        <f t="shared" si="2"/>
        <v>25</v>
      </c>
    </row>
    <row r="5" spans="1:14">
      <c r="A5" t="s">
        <v>86</v>
      </c>
      <c r="B5">
        <f>B3+B4</f>
        <v>25</v>
      </c>
      <c r="C5">
        <f t="shared" ref="C5:N5" si="3">C3+C4</f>
        <v>25</v>
      </c>
      <c r="D5">
        <f t="shared" si="3"/>
        <v>25</v>
      </c>
      <c r="E5">
        <f t="shared" si="3"/>
        <v>25</v>
      </c>
      <c r="F5">
        <f t="shared" si="3"/>
        <v>25</v>
      </c>
      <c r="G5">
        <f t="shared" si="3"/>
        <v>25</v>
      </c>
      <c r="H5">
        <f t="shared" si="3"/>
        <v>25</v>
      </c>
      <c r="I5">
        <f t="shared" si="3"/>
        <v>0</v>
      </c>
      <c r="J5">
        <f t="shared" si="3"/>
        <v>-25</v>
      </c>
      <c r="K5">
        <f t="shared" si="3"/>
        <v>-50</v>
      </c>
      <c r="L5">
        <f t="shared" si="3"/>
        <v>-75</v>
      </c>
      <c r="M5">
        <f t="shared" si="3"/>
        <v>-100</v>
      </c>
      <c r="N5">
        <f t="shared" si="3"/>
        <v>-125</v>
      </c>
    </row>
    <row r="6" spans="1:14">
      <c r="A6" t="s">
        <v>113</v>
      </c>
      <c r="B6">
        <v>150</v>
      </c>
      <c r="C6" t="s">
        <v>140</v>
      </c>
      <c r="D6" t="s">
        <v>140</v>
      </c>
      <c r="E6" t="str">
        <f t="shared" ref="E6:N6" si="4">D6</f>
        <v xml:space="preserve"> </v>
      </c>
      <c r="F6" t="str">
        <f t="shared" si="4"/>
        <v xml:space="preserve"> </v>
      </c>
      <c r="G6" t="str">
        <f t="shared" si="4"/>
        <v xml:space="preserve"> </v>
      </c>
      <c r="H6" t="str">
        <f t="shared" si="4"/>
        <v xml:space="preserve"> </v>
      </c>
      <c r="I6" t="str">
        <f t="shared" si="4"/>
        <v xml:space="preserve"> </v>
      </c>
      <c r="J6" t="str">
        <f t="shared" si="4"/>
        <v xml:space="preserve"> </v>
      </c>
      <c r="K6" t="str">
        <f t="shared" si="4"/>
        <v xml:space="preserve"> </v>
      </c>
      <c r="L6" t="str">
        <f t="shared" si="4"/>
        <v xml:space="preserve"> </v>
      </c>
      <c r="M6" t="str">
        <f t="shared" si="4"/>
        <v xml:space="preserve"> </v>
      </c>
      <c r="N6" t="str">
        <f t="shared" si="4"/>
        <v xml:space="preserve"> </v>
      </c>
    </row>
    <row r="7" spans="1:14">
      <c r="A7" t="s">
        <v>85</v>
      </c>
      <c r="B7">
        <f>B32</f>
        <v>25</v>
      </c>
    </row>
    <row r="8" spans="1:14" ht="22.5">
      <c r="A8" s="32" t="s">
        <v>118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29" t="s">
        <v>102</v>
      </c>
    </row>
    <row r="10" spans="1:14">
      <c r="A10" t="str">
        <f>A4</f>
        <v>WRITE REAL PUT INTRINSIC</v>
      </c>
      <c r="B10" t="s">
        <v>101</v>
      </c>
    </row>
    <row r="11" spans="1:14">
      <c r="A11" t="s">
        <v>86</v>
      </c>
      <c r="B11" t="s">
        <v>99</v>
      </c>
    </row>
    <row r="32" spans="1:2">
      <c r="A32" t="s">
        <v>85</v>
      </c>
      <c r="B32">
        <v>25</v>
      </c>
    </row>
  </sheetData>
  <phoneticPr fontId="8" type="noConversion"/>
  <printOptions headings="1"/>
  <pageMargins left="0.75" right="0.75" top="1" bottom="1" header="0.5" footer="0.5"/>
  <pageSetup paperSize="9" scale="80" orientation="portrait" horizontalDpi="4294967293" vertic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3"/>
  <sheetViews>
    <sheetView topLeftCell="A18" workbookViewId="0">
      <selection activeCell="B44" sqref="B44"/>
    </sheetView>
  </sheetViews>
  <sheetFormatPr defaultRowHeight="12.75"/>
  <cols>
    <col min="1" max="1" width="33.42578125" bestFit="1" customWidth="1"/>
    <col min="2" max="6" width="6.140625" customWidth="1"/>
    <col min="7" max="7" width="5.140625" customWidth="1"/>
    <col min="8" max="8" width="5.5703125" customWidth="1"/>
    <col min="9" max="12" width="6.140625" customWidth="1"/>
  </cols>
  <sheetData>
    <row r="1" spans="1:14" ht="18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>
      <c r="A2" t="s">
        <v>87</v>
      </c>
      <c r="B2" s="31">
        <v>-150</v>
      </c>
      <c r="C2" s="31">
        <f>B2+25</f>
        <v>-125</v>
      </c>
      <c r="D2" s="31">
        <f t="shared" ref="D2:L2" si="0">C2+25</f>
        <v>-100</v>
      </c>
      <c r="E2" s="31">
        <f t="shared" si="0"/>
        <v>-75</v>
      </c>
      <c r="F2" s="31">
        <f t="shared" si="0"/>
        <v>-50</v>
      </c>
      <c r="G2" s="31">
        <f t="shared" si="0"/>
        <v>-25</v>
      </c>
      <c r="H2" s="31">
        <f t="shared" si="0"/>
        <v>0</v>
      </c>
      <c r="I2" s="31">
        <f t="shared" si="0"/>
        <v>25</v>
      </c>
      <c r="J2" s="31">
        <f t="shared" si="0"/>
        <v>50</v>
      </c>
      <c r="K2" s="31">
        <f t="shared" si="0"/>
        <v>75</v>
      </c>
      <c r="L2" s="31">
        <f t="shared" si="0"/>
        <v>100</v>
      </c>
      <c r="M2" s="31">
        <f>L2+25</f>
        <v>125</v>
      </c>
      <c r="N2" s="31">
        <f>M2+25</f>
        <v>150</v>
      </c>
    </row>
    <row r="3" spans="1:14">
      <c r="A3" t="s">
        <v>119</v>
      </c>
      <c r="B3" s="31">
        <f>IF(B2&gt;$B$6,$B$6-B2+$B$9,$B$9)</f>
        <v>25</v>
      </c>
      <c r="C3" s="31">
        <f t="shared" ref="C3:L3" si="1">IF(C2&gt;$B$6,$B$6-C2+$B$9,$B$9)</f>
        <v>25</v>
      </c>
      <c r="D3" s="31">
        <f t="shared" si="1"/>
        <v>25</v>
      </c>
      <c r="E3" s="31">
        <f t="shared" si="1"/>
        <v>25</v>
      </c>
      <c r="F3" s="31">
        <f t="shared" si="1"/>
        <v>25</v>
      </c>
      <c r="G3" s="31">
        <f t="shared" si="1"/>
        <v>25</v>
      </c>
      <c r="H3" s="31">
        <f t="shared" si="1"/>
        <v>25</v>
      </c>
      <c r="I3" s="31">
        <f t="shared" si="1"/>
        <v>25</v>
      </c>
      <c r="J3" s="31">
        <f t="shared" si="1"/>
        <v>0</v>
      </c>
      <c r="K3" s="31">
        <f t="shared" si="1"/>
        <v>-25</v>
      </c>
      <c r="L3" s="31">
        <f t="shared" si="1"/>
        <v>-50</v>
      </c>
      <c r="M3" s="31">
        <f>IF(M2&gt;$B$6,$B$6-M2+$B$9,$B$9)</f>
        <v>-75</v>
      </c>
      <c r="N3" s="31">
        <f>IF(N2&gt;$B$6,$B$6-N2+$B$9,$B$9)</f>
        <v>-100</v>
      </c>
    </row>
    <row r="4" spans="1:14">
      <c r="A4" t="s">
        <v>120</v>
      </c>
      <c r="B4" s="31">
        <f>IF(B2&lt;$B$7,-B2-$B$7-$B$10,-$B$10)</f>
        <v>140</v>
      </c>
      <c r="C4" s="31">
        <f t="shared" ref="C4:L4" si="2">IF(C2&lt;$B$7,-C2-$B$7-$B$10,-$B$10)</f>
        <v>115</v>
      </c>
      <c r="D4" s="31">
        <f t="shared" si="2"/>
        <v>90</v>
      </c>
      <c r="E4" s="31">
        <f t="shared" si="2"/>
        <v>65</v>
      </c>
      <c r="F4" s="31">
        <f t="shared" si="2"/>
        <v>40</v>
      </c>
      <c r="G4" s="31">
        <f t="shared" si="2"/>
        <v>15</v>
      </c>
      <c r="H4" s="31">
        <f t="shared" si="2"/>
        <v>-10</v>
      </c>
      <c r="I4" s="31">
        <f t="shared" si="2"/>
        <v>-10</v>
      </c>
      <c r="J4" s="31">
        <f t="shared" si="2"/>
        <v>-10</v>
      </c>
      <c r="K4" s="31">
        <f t="shared" si="2"/>
        <v>-10</v>
      </c>
      <c r="L4" s="31">
        <f t="shared" si="2"/>
        <v>-10</v>
      </c>
      <c r="M4" s="31">
        <f>IF(M2&lt;$B$7,-M2-$B$7-$B$10,-$B$10)</f>
        <v>-10</v>
      </c>
      <c r="N4" s="31">
        <f>IF(N2&lt;$B$7,-N2-$B$7-$B$10,-$B$10)</f>
        <v>-10</v>
      </c>
    </row>
    <row r="5" spans="1:14">
      <c r="A5" t="s">
        <v>86</v>
      </c>
      <c r="B5" s="31">
        <f>B2+B3+B4</f>
        <v>15</v>
      </c>
      <c r="C5" s="31">
        <f t="shared" ref="C5:L5" si="3">C2+C3+C4</f>
        <v>15</v>
      </c>
      <c r="D5" s="31">
        <f t="shared" si="3"/>
        <v>15</v>
      </c>
      <c r="E5" s="31">
        <f t="shared" si="3"/>
        <v>15</v>
      </c>
      <c r="F5" s="31">
        <f t="shared" si="3"/>
        <v>15</v>
      </c>
      <c r="G5" s="31">
        <f t="shared" si="3"/>
        <v>15</v>
      </c>
      <c r="H5" s="31">
        <f t="shared" si="3"/>
        <v>15</v>
      </c>
      <c r="I5" s="31">
        <f t="shared" si="3"/>
        <v>40</v>
      </c>
      <c r="J5" s="31">
        <f t="shared" si="3"/>
        <v>40</v>
      </c>
      <c r="K5" s="31">
        <f t="shared" si="3"/>
        <v>40</v>
      </c>
      <c r="L5" s="31">
        <f t="shared" si="3"/>
        <v>40</v>
      </c>
      <c r="M5" s="31">
        <f>M2+M3+M4</f>
        <v>40</v>
      </c>
      <c r="N5" s="31">
        <f>N2+N3+N4</f>
        <v>40</v>
      </c>
    </row>
    <row r="6" spans="1:14">
      <c r="A6" t="s">
        <v>121</v>
      </c>
      <c r="B6" s="31">
        <f>B40</f>
        <v>25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4">
      <c r="A7" t="s">
        <v>122</v>
      </c>
      <c r="B7" s="31">
        <f>B41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4">
      <c r="A8" t="s">
        <v>113</v>
      </c>
      <c r="B8" s="31">
        <v>150</v>
      </c>
      <c r="C8" s="31" t="s">
        <v>140</v>
      </c>
      <c r="D8" s="31" t="s">
        <v>140</v>
      </c>
      <c r="E8" s="31" t="str">
        <f t="shared" ref="E8:L8" si="4">D8</f>
        <v xml:space="preserve"> </v>
      </c>
      <c r="F8" s="31" t="str">
        <f t="shared" si="4"/>
        <v xml:space="preserve"> </v>
      </c>
      <c r="G8" s="31" t="str">
        <f t="shared" si="4"/>
        <v xml:space="preserve"> </v>
      </c>
      <c r="H8" s="31" t="str">
        <f t="shared" si="4"/>
        <v xml:space="preserve"> </v>
      </c>
      <c r="I8" s="31" t="str">
        <f t="shared" si="4"/>
        <v xml:space="preserve"> </v>
      </c>
      <c r="J8" s="31" t="str">
        <f t="shared" si="4"/>
        <v xml:space="preserve"> </v>
      </c>
      <c r="K8" s="31" t="str">
        <f t="shared" si="4"/>
        <v xml:space="preserve"> </v>
      </c>
      <c r="L8" s="31" t="str">
        <f t="shared" si="4"/>
        <v xml:space="preserve"> </v>
      </c>
    </row>
    <row r="9" spans="1:14">
      <c r="A9" t="s">
        <v>103</v>
      </c>
      <c r="B9" s="31">
        <f>B42</f>
        <v>25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4">
      <c r="A10" t="s">
        <v>104</v>
      </c>
      <c r="B10" s="31">
        <f>B43</f>
        <v>10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4">
      <c r="A11" s="27" t="s">
        <v>123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4">
      <c r="A12" s="29" t="s">
        <v>105</v>
      </c>
    </row>
    <row r="13" spans="1:14">
      <c r="A13" t="str">
        <f>A3</f>
        <v xml:space="preserve">WRITE REAL CALL AT K2 INTRINSIC </v>
      </c>
      <c r="B13" t="s">
        <v>106</v>
      </c>
    </row>
    <row r="14" spans="1:14">
      <c r="A14" t="str">
        <f>A4</f>
        <v>BUY REAL PUT AT K1 INTRINSIC</v>
      </c>
      <c r="B14" t="s">
        <v>107</v>
      </c>
    </row>
    <row r="15" spans="1:14">
      <c r="A15" t="s">
        <v>86</v>
      </c>
      <c r="B15" t="s">
        <v>108</v>
      </c>
    </row>
    <row r="40" spans="1:2">
      <c r="A40" t="s">
        <v>121</v>
      </c>
      <c r="B40">
        <v>25</v>
      </c>
    </row>
    <row r="41" spans="1:2">
      <c r="A41" t="s">
        <v>122</v>
      </c>
      <c r="B41">
        <v>0</v>
      </c>
    </row>
    <row r="42" spans="1:2">
      <c r="A42" t="s">
        <v>103</v>
      </c>
      <c r="B42">
        <v>25</v>
      </c>
    </row>
    <row r="43" spans="1:2">
      <c r="A43" t="s">
        <v>104</v>
      </c>
      <c r="B43">
        <v>10</v>
      </c>
    </row>
  </sheetData>
  <phoneticPr fontId="8" type="noConversion"/>
  <printOptions headings="1"/>
  <pageMargins left="0.54" right="0.12" top="1" bottom="1" header="0.5" footer="0.5"/>
  <pageSetup paperSize="9" scale="80" orientation="portrait" horizontalDpi="4294967293" vertic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0"/>
  <sheetViews>
    <sheetView topLeftCell="A16" workbookViewId="0">
      <selection activeCell="A35" sqref="A35"/>
    </sheetView>
  </sheetViews>
  <sheetFormatPr defaultRowHeight="12.75"/>
  <cols>
    <col min="1" max="1" width="27.28515625" bestFit="1" customWidth="1"/>
    <col min="2" max="14" width="5.7109375" customWidth="1"/>
  </cols>
  <sheetData>
    <row r="1" spans="1:14" ht="18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t="s">
        <v>95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s="17" t="s">
        <v>190</v>
      </c>
      <c r="B3">
        <f>IF(B2&gt;0,B2-$B$6,-$B$6)</f>
        <v>-15</v>
      </c>
      <c r="C3">
        <f t="shared" ref="C3:N3" si="1">IF(C2&gt;0,C2-$B$6,-$B$6)</f>
        <v>-15</v>
      </c>
      <c r="D3">
        <f t="shared" si="1"/>
        <v>-15</v>
      </c>
      <c r="E3">
        <f t="shared" si="1"/>
        <v>-15</v>
      </c>
      <c r="F3">
        <f t="shared" si="1"/>
        <v>-15</v>
      </c>
      <c r="G3">
        <f t="shared" si="1"/>
        <v>-15</v>
      </c>
      <c r="H3">
        <f t="shared" si="1"/>
        <v>-15</v>
      </c>
      <c r="I3">
        <f t="shared" si="1"/>
        <v>10</v>
      </c>
      <c r="J3">
        <f t="shared" si="1"/>
        <v>35</v>
      </c>
      <c r="K3">
        <f t="shared" si="1"/>
        <v>60</v>
      </c>
      <c r="L3">
        <f t="shared" si="1"/>
        <v>85</v>
      </c>
      <c r="M3">
        <f t="shared" si="1"/>
        <v>110</v>
      </c>
      <c r="N3">
        <f t="shared" si="1"/>
        <v>135</v>
      </c>
    </row>
    <row r="4" spans="1:14">
      <c r="A4" t="s">
        <v>86</v>
      </c>
      <c r="B4">
        <f>B2+B3</f>
        <v>-165</v>
      </c>
      <c r="C4">
        <f t="shared" ref="C4:N4" si="2">C2+C3</f>
        <v>-140</v>
      </c>
      <c r="D4">
        <f t="shared" si="2"/>
        <v>-115</v>
      </c>
      <c r="E4">
        <f t="shared" si="2"/>
        <v>-90</v>
      </c>
      <c r="F4">
        <f t="shared" si="2"/>
        <v>-65</v>
      </c>
      <c r="G4">
        <f t="shared" si="2"/>
        <v>-40</v>
      </c>
      <c r="H4">
        <f t="shared" si="2"/>
        <v>-15</v>
      </c>
      <c r="I4">
        <f t="shared" si="2"/>
        <v>35</v>
      </c>
      <c r="J4">
        <f t="shared" si="2"/>
        <v>85</v>
      </c>
      <c r="K4">
        <f t="shared" si="2"/>
        <v>135</v>
      </c>
      <c r="L4">
        <f t="shared" si="2"/>
        <v>185</v>
      </c>
      <c r="M4">
        <f t="shared" si="2"/>
        <v>235</v>
      </c>
      <c r="N4">
        <f t="shared" si="2"/>
        <v>285</v>
      </c>
    </row>
    <row r="5" spans="1:14">
      <c r="A5" t="s">
        <v>113</v>
      </c>
      <c r="B5">
        <v>150</v>
      </c>
      <c r="C5" t="s">
        <v>140</v>
      </c>
      <c r="D5" t="s">
        <v>140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85</v>
      </c>
      <c r="B6">
        <v>15</v>
      </c>
    </row>
    <row r="7" spans="1:14" ht="20.100000000000001" customHeight="1">
      <c r="A7" s="56" t="s">
        <v>191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>
      <c r="A8" s="29" t="s">
        <v>192</v>
      </c>
    </row>
    <row r="9" spans="1:14">
      <c r="A9" t="str">
        <f>A3</f>
        <v>HOLD REAL CALL INTRINSIC</v>
      </c>
      <c r="B9" s="17" t="s">
        <v>193</v>
      </c>
    </row>
    <row r="10" spans="1:14">
      <c r="A10" t="s">
        <v>86</v>
      </c>
      <c r="B10" s="17" t="s">
        <v>90</v>
      </c>
    </row>
  </sheetData>
  <printOptions headings="1"/>
  <pageMargins left="0.7" right="0.7" top="0.75" bottom="0.75" header="0.3" footer="0.3"/>
  <pageSetup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0"/>
  <sheetViews>
    <sheetView workbookViewId="0">
      <selection sqref="A1:N36"/>
    </sheetView>
  </sheetViews>
  <sheetFormatPr defaultRowHeight="12.75"/>
  <cols>
    <col min="1" max="1" width="28.85546875" bestFit="1" customWidth="1"/>
    <col min="2" max="14" width="5.7109375" customWidth="1"/>
  </cols>
  <sheetData>
    <row r="1" spans="1:14" ht="18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17" t="s">
        <v>194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s="17" t="s">
        <v>195</v>
      </c>
      <c r="B3" s="17">
        <f>IF(B2&lt;0,B2+$B$6,+$B$6)</f>
        <v>-135</v>
      </c>
      <c r="C3" s="17">
        <f t="shared" ref="C3:N3" si="1">IF(C2&lt;0,C2+$B$6,+$B$6)</f>
        <v>-110</v>
      </c>
      <c r="D3" s="17">
        <f t="shared" si="1"/>
        <v>-85</v>
      </c>
      <c r="E3" s="17">
        <f t="shared" si="1"/>
        <v>-60</v>
      </c>
      <c r="F3" s="17">
        <f t="shared" si="1"/>
        <v>-35</v>
      </c>
      <c r="G3" s="17">
        <f t="shared" si="1"/>
        <v>-10</v>
      </c>
      <c r="H3" s="17">
        <f t="shared" si="1"/>
        <v>15</v>
      </c>
      <c r="I3" s="17">
        <f t="shared" si="1"/>
        <v>15</v>
      </c>
      <c r="J3" s="17">
        <f t="shared" si="1"/>
        <v>15</v>
      </c>
      <c r="K3" s="17">
        <f t="shared" si="1"/>
        <v>15</v>
      </c>
      <c r="L3" s="17">
        <f t="shared" si="1"/>
        <v>15</v>
      </c>
      <c r="M3" s="17">
        <f t="shared" si="1"/>
        <v>15</v>
      </c>
      <c r="N3" s="17">
        <f t="shared" si="1"/>
        <v>15</v>
      </c>
    </row>
    <row r="4" spans="1:14">
      <c r="A4" t="s">
        <v>86</v>
      </c>
      <c r="B4">
        <f>B2+B3</f>
        <v>-285</v>
      </c>
      <c r="C4">
        <f t="shared" ref="C4:N4" si="2">C2+C3</f>
        <v>-235</v>
      </c>
      <c r="D4">
        <f t="shared" si="2"/>
        <v>-185</v>
      </c>
      <c r="E4">
        <f t="shared" si="2"/>
        <v>-135</v>
      </c>
      <c r="F4">
        <f t="shared" si="2"/>
        <v>-85</v>
      </c>
      <c r="G4">
        <f t="shared" si="2"/>
        <v>-35</v>
      </c>
      <c r="H4">
        <f t="shared" si="2"/>
        <v>15</v>
      </c>
      <c r="I4">
        <f t="shared" si="2"/>
        <v>40</v>
      </c>
      <c r="J4">
        <f t="shared" si="2"/>
        <v>65</v>
      </c>
      <c r="K4">
        <f t="shared" si="2"/>
        <v>90</v>
      </c>
      <c r="L4">
        <f t="shared" si="2"/>
        <v>115</v>
      </c>
      <c r="M4">
        <f t="shared" si="2"/>
        <v>140</v>
      </c>
      <c r="N4">
        <f t="shared" si="2"/>
        <v>165</v>
      </c>
    </row>
    <row r="5" spans="1:14">
      <c r="A5" t="s">
        <v>113</v>
      </c>
      <c r="B5">
        <v>150</v>
      </c>
      <c r="C5" t="s">
        <v>140</v>
      </c>
      <c r="D5" t="s">
        <v>140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85</v>
      </c>
      <c r="B6">
        <v>15</v>
      </c>
    </row>
    <row r="7" spans="1:14" ht="20.100000000000001" customHeight="1">
      <c r="A7" s="56" t="s">
        <v>197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>
      <c r="A8" s="29" t="s">
        <v>198</v>
      </c>
    </row>
    <row r="9" spans="1:14">
      <c r="A9" t="str">
        <f>A3</f>
        <v>RENOVATION REQUIREMENT</v>
      </c>
      <c r="B9" s="17" t="s">
        <v>196</v>
      </c>
    </row>
    <row r="10" spans="1:14">
      <c r="A10" t="s">
        <v>86</v>
      </c>
      <c r="B10" s="17" t="s">
        <v>90</v>
      </c>
    </row>
  </sheetData>
  <printOptions headings="1"/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workbookViewId="0">
      <selection activeCell="A3" sqref="A3:B3"/>
    </sheetView>
  </sheetViews>
  <sheetFormatPr defaultRowHeight="12.75"/>
  <cols>
    <col min="1" max="1" width="22" bestFit="1" customWidth="1"/>
    <col min="2" max="14" width="5.7109375" customWidth="1"/>
  </cols>
  <sheetData>
    <row r="1" spans="1:15" ht="18.75">
      <c r="A1" s="18" t="s">
        <v>293</v>
      </c>
      <c r="B1" s="18"/>
      <c r="C1" s="18"/>
      <c r="D1" s="18"/>
      <c r="E1" s="18"/>
      <c r="F1" s="18"/>
      <c r="G1" s="44"/>
      <c r="H1" s="44"/>
      <c r="I1" s="44"/>
      <c r="J1" s="44"/>
      <c r="K1" s="44"/>
      <c r="L1" s="44"/>
      <c r="M1" s="44"/>
      <c r="N1" s="44"/>
    </row>
    <row r="2" spans="1:15" ht="18.75">
      <c r="A2" s="18" t="s">
        <v>153</v>
      </c>
      <c r="B2" s="18"/>
      <c r="C2" s="18"/>
      <c r="D2" s="18"/>
      <c r="E2" s="18"/>
      <c r="F2" s="18"/>
      <c r="G2" s="44"/>
      <c r="H2" s="44"/>
      <c r="I2" s="44"/>
      <c r="J2" s="44"/>
      <c r="K2" s="44"/>
      <c r="L2" s="44"/>
      <c r="M2" s="44"/>
      <c r="N2" s="44"/>
    </row>
    <row r="3" spans="1:15">
      <c r="A3" s="17" t="s">
        <v>386</v>
      </c>
      <c r="B3">
        <v>0</v>
      </c>
      <c r="C3">
        <v>25</v>
      </c>
      <c r="D3">
        <f>C3+25</f>
        <v>50</v>
      </c>
      <c r="E3">
        <f t="shared" ref="E3:N3" si="0">D3+25</f>
        <v>75</v>
      </c>
      <c r="F3">
        <f t="shared" si="0"/>
        <v>100</v>
      </c>
      <c r="G3">
        <f t="shared" si="0"/>
        <v>125</v>
      </c>
      <c r="H3">
        <f t="shared" si="0"/>
        <v>150</v>
      </c>
      <c r="I3">
        <f t="shared" si="0"/>
        <v>175</v>
      </c>
      <c r="J3">
        <f t="shared" si="0"/>
        <v>200</v>
      </c>
      <c r="K3">
        <f t="shared" si="0"/>
        <v>225</v>
      </c>
      <c r="L3">
        <f t="shared" si="0"/>
        <v>250</v>
      </c>
      <c r="M3">
        <f t="shared" si="0"/>
        <v>275</v>
      </c>
      <c r="N3">
        <f t="shared" si="0"/>
        <v>300</v>
      </c>
    </row>
    <row r="4" spans="1:15">
      <c r="A4" s="17" t="s">
        <v>387</v>
      </c>
      <c r="B4">
        <f>B24</f>
        <v>150</v>
      </c>
      <c r="C4">
        <f>B4</f>
        <v>150</v>
      </c>
      <c r="D4">
        <f t="shared" ref="D4:N4" si="1">C4</f>
        <v>150</v>
      </c>
      <c r="E4">
        <f t="shared" si="1"/>
        <v>150</v>
      </c>
      <c r="F4">
        <f t="shared" si="1"/>
        <v>150</v>
      </c>
      <c r="G4">
        <f t="shared" si="1"/>
        <v>150</v>
      </c>
      <c r="H4">
        <f t="shared" si="1"/>
        <v>150</v>
      </c>
      <c r="I4">
        <f t="shared" si="1"/>
        <v>150</v>
      </c>
      <c r="J4">
        <f t="shared" si="1"/>
        <v>150</v>
      </c>
      <c r="K4">
        <f t="shared" si="1"/>
        <v>150</v>
      </c>
      <c r="L4">
        <f t="shared" si="1"/>
        <v>150</v>
      </c>
      <c r="M4">
        <f t="shared" si="1"/>
        <v>150</v>
      </c>
      <c r="N4">
        <f t="shared" si="1"/>
        <v>150</v>
      </c>
    </row>
    <row r="5" spans="1:15">
      <c r="A5" t="s">
        <v>138</v>
      </c>
      <c r="B5" s="17">
        <f>IF(B3&gt;B4,B3-B4,0)</f>
        <v>0</v>
      </c>
      <c r="C5">
        <f t="shared" ref="C5:M5" si="2">IF(C3&gt;C4,C3-C4,0)</f>
        <v>0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25</v>
      </c>
      <c r="J5">
        <f t="shared" si="2"/>
        <v>50</v>
      </c>
      <c r="K5">
        <f t="shared" si="2"/>
        <v>75</v>
      </c>
      <c r="L5">
        <f t="shared" si="2"/>
        <v>100</v>
      </c>
      <c r="M5">
        <f t="shared" si="2"/>
        <v>125</v>
      </c>
      <c r="N5">
        <f>IF(N3&gt;N4,N3-N4,0)</f>
        <v>150</v>
      </c>
      <c r="O5" s="17" t="s">
        <v>140</v>
      </c>
    </row>
    <row r="24" spans="1:2">
      <c r="A24" s="17" t="s">
        <v>388</v>
      </c>
      <c r="B24">
        <v>150</v>
      </c>
    </row>
    <row r="25" spans="1:2">
      <c r="A25" t="s">
        <v>138</v>
      </c>
      <c r="B25" s="17" t="s">
        <v>329</v>
      </c>
    </row>
  </sheetData>
  <phoneticPr fontId="8" type="noConversion"/>
  <printOptions horizontalCentered="1" headings="1"/>
  <pageMargins left="0.75" right="0.75" top="1" bottom="1" header="0.5" footer="0.5"/>
  <pageSetup scale="83" orientation="portrait" horizontalDpi="4294967293" vertic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43"/>
  <sheetViews>
    <sheetView topLeftCell="A21" workbookViewId="0">
      <selection sqref="A1:Z43"/>
    </sheetView>
  </sheetViews>
  <sheetFormatPr defaultRowHeight="12.75"/>
  <cols>
    <col min="1" max="1" width="18.42578125" bestFit="1" customWidth="1"/>
    <col min="2" max="2" width="5.85546875" customWidth="1"/>
    <col min="3" max="6" width="4.140625" customWidth="1"/>
    <col min="7" max="26" width="4.85546875" customWidth="1"/>
  </cols>
  <sheetData>
    <row r="1" spans="1:26" ht="1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6" ht="15">
      <c r="A2" s="19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6">
      <c r="A4" t="s">
        <v>24</v>
      </c>
      <c r="B4" s="33">
        <v>34000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>
      <c r="A5" t="s">
        <v>18</v>
      </c>
      <c r="B5" s="33">
        <v>48000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t="s">
        <v>25</v>
      </c>
      <c r="B6" s="33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t="s">
        <v>26</v>
      </c>
      <c r="B7" s="33">
        <f>B43</f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>
      <c r="A8" t="s">
        <v>170</v>
      </c>
      <c r="B8" s="33">
        <v>0.6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>
      <c r="A9" t="s">
        <v>19</v>
      </c>
      <c r="B9" s="33">
        <v>0</v>
      </c>
      <c r="C9" s="54">
        <f>B9+2000</f>
        <v>2000</v>
      </c>
      <c r="D9" s="54">
        <f t="shared" ref="D9:Z9" si="0">C9+2000</f>
        <v>4000</v>
      </c>
      <c r="E9" s="54">
        <f t="shared" si="0"/>
        <v>6000</v>
      </c>
      <c r="F9" s="54">
        <f t="shared" si="0"/>
        <v>8000</v>
      </c>
      <c r="G9" s="54">
        <f t="shared" si="0"/>
        <v>10000</v>
      </c>
      <c r="H9" s="54">
        <f t="shared" si="0"/>
        <v>12000</v>
      </c>
      <c r="I9" s="54">
        <f t="shared" si="0"/>
        <v>14000</v>
      </c>
      <c r="J9" s="54">
        <f t="shared" si="0"/>
        <v>16000</v>
      </c>
      <c r="K9" s="54">
        <f t="shared" si="0"/>
        <v>18000</v>
      </c>
      <c r="L9" s="54">
        <f t="shared" si="0"/>
        <v>20000</v>
      </c>
      <c r="M9" s="54">
        <f t="shared" si="0"/>
        <v>22000</v>
      </c>
      <c r="N9" s="54">
        <f t="shared" si="0"/>
        <v>24000</v>
      </c>
      <c r="O9" s="54">
        <f t="shared" si="0"/>
        <v>26000</v>
      </c>
      <c r="P9" s="54">
        <f t="shared" si="0"/>
        <v>28000</v>
      </c>
      <c r="Q9" s="54">
        <f t="shared" si="0"/>
        <v>30000</v>
      </c>
      <c r="R9" s="54">
        <f t="shared" si="0"/>
        <v>32000</v>
      </c>
      <c r="S9" s="54">
        <f t="shared" si="0"/>
        <v>34000</v>
      </c>
      <c r="T9" s="54">
        <f t="shared" si="0"/>
        <v>36000</v>
      </c>
      <c r="U9" s="54">
        <f t="shared" si="0"/>
        <v>38000</v>
      </c>
      <c r="V9" s="54">
        <f t="shared" si="0"/>
        <v>40000</v>
      </c>
      <c r="W9" s="54">
        <f t="shared" si="0"/>
        <v>42000</v>
      </c>
      <c r="X9" s="54">
        <f t="shared" si="0"/>
        <v>44000</v>
      </c>
      <c r="Y9" s="54">
        <f t="shared" si="0"/>
        <v>46000</v>
      </c>
      <c r="Z9" s="54">
        <f t="shared" si="0"/>
        <v>48000</v>
      </c>
    </row>
    <row r="10" spans="1:26">
      <c r="A10" t="s">
        <v>81</v>
      </c>
      <c r="B10" s="33"/>
      <c r="C10" s="34">
        <f>C13+C14</f>
        <v>40000</v>
      </c>
      <c r="D10" s="34">
        <f t="shared" ref="D10:Z10" si="1">D13+D14</f>
        <v>80000</v>
      </c>
      <c r="E10" s="34">
        <f t="shared" si="1"/>
        <v>120000</v>
      </c>
      <c r="F10" s="34">
        <f t="shared" si="1"/>
        <v>160000</v>
      </c>
      <c r="G10" s="34">
        <f t="shared" si="1"/>
        <v>200000</v>
      </c>
      <c r="H10" s="34">
        <f t="shared" si="1"/>
        <v>240000</v>
      </c>
      <c r="I10" s="34">
        <f t="shared" si="1"/>
        <v>280000</v>
      </c>
      <c r="J10" s="34">
        <f t="shared" si="1"/>
        <v>320000</v>
      </c>
      <c r="K10" s="34">
        <f t="shared" si="1"/>
        <v>360000</v>
      </c>
      <c r="L10" s="34">
        <f t="shared" si="1"/>
        <v>400000</v>
      </c>
      <c r="M10" s="34">
        <f t="shared" si="1"/>
        <v>440000</v>
      </c>
      <c r="N10" s="34">
        <f t="shared" si="1"/>
        <v>480000</v>
      </c>
      <c r="O10" s="34">
        <f t="shared" si="1"/>
        <v>520000</v>
      </c>
      <c r="P10" s="34">
        <f t="shared" si="1"/>
        <v>560000</v>
      </c>
      <c r="Q10" s="34">
        <f t="shared" si="1"/>
        <v>600000</v>
      </c>
      <c r="R10" s="34">
        <f t="shared" si="1"/>
        <v>640000</v>
      </c>
      <c r="S10" s="34">
        <f t="shared" si="1"/>
        <v>680000</v>
      </c>
      <c r="T10" s="34">
        <f t="shared" si="1"/>
        <v>720000</v>
      </c>
      <c r="U10" s="34">
        <f t="shared" si="1"/>
        <v>760000</v>
      </c>
      <c r="V10" s="34">
        <f t="shared" si="1"/>
        <v>800000</v>
      </c>
      <c r="W10" s="34">
        <f t="shared" si="1"/>
        <v>840000</v>
      </c>
      <c r="X10" s="34">
        <f t="shared" si="1"/>
        <v>880000</v>
      </c>
      <c r="Y10" s="34">
        <f t="shared" si="1"/>
        <v>920000</v>
      </c>
      <c r="Z10" s="34">
        <f t="shared" si="1"/>
        <v>960000</v>
      </c>
    </row>
    <row r="11" spans="1:26">
      <c r="A11" t="s">
        <v>22</v>
      </c>
      <c r="B11" s="33">
        <f>$B$6*B9-$B$4*$B$7</f>
        <v>-68000</v>
      </c>
      <c r="C11" s="34">
        <f t="shared" ref="C11:Z11" si="2">$B$6*C9-$B$4*$B$7</f>
        <v>-28000</v>
      </c>
      <c r="D11" s="34">
        <f t="shared" si="2"/>
        <v>12000</v>
      </c>
      <c r="E11" s="34">
        <f t="shared" si="2"/>
        <v>52000</v>
      </c>
      <c r="F11" s="34">
        <f t="shared" si="2"/>
        <v>92000</v>
      </c>
      <c r="G11" s="34">
        <f t="shared" si="2"/>
        <v>132000</v>
      </c>
      <c r="H11" s="34">
        <f t="shared" si="2"/>
        <v>172000</v>
      </c>
      <c r="I11" s="34">
        <f t="shared" si="2"/>
        <v>212000</v>
      </c>
      <c r="J11" s="34">
        <f t="shared" si="2"/>
        <v>252000</v>
      </c>
      <c r="K11" s="34">
        <f t="shared" si="2"/>
        <v>292000</v>
      </c>
      <c r="L11" s="34">
        <f t="shared" si="2"/>
        <v>332000</v>
      </c>
      <c r="M11" s="34">
        <f t="shared" si="2"/>
        <v>372000</v>
      </c>
      <c r="N11" s="34">
        <f t="shared" si="2"/>
        <v>412000</v>
      </c>
      <c r="O11" s="34">
        <f t="shared" si="2"/>
        <v>452000</v>
      </c>
      <c r="P11" s="34">
        <f t="shared" si="2"/>
        <v>492000</v>
      </c>
      <c r="Q11" s="34">
        <f t="shared" si="2"/>
        <v>532000</v>
      </c>
      <c r="R11" s="34">
        <f t="shared" si="2"/>
        <v>572000</v>
      </c>
      <c r="S11" s="34">
        <f t="shared" si="2"/>
        <v>612000</v>
      </c>
      <c r="T11" s="34">
        <f t="shared" si="2"/>
        <v>652000</v>
      </c>
      <c r="U11" s="34">
        <f t="shared" si="2"/>
        <v>692000</v>
      </c>
      <c r="V11" s="34">
        <f t="shared" si="2"/>
        <v>732000</v>
      </c>
      <c r="W11" s="34">
        <f t="shared" si="2"/>
        <v>772000</v>
      </c>
      <c r="X11" s="34">
        <f t="shared" si="2"/>
        <v>812000</v>
      </c>
      <c r="Y11" s="34">
        <f t="shared" si="2"/>
        <v>852000</v>
      </c>
      <c r="Z11" s="34">
        <f t="shared" si="2"/>
        <v>892000</v>
      </c>
    </row>
    <row r="12" spans="1:26">
      <c r="A12" t="s">
        <v>23</v>
      </c>
      <c r="B12" s="33">
        <f>$B$4*$B$7</f>
        <v>68000</v>
      </c>
      <c r="C12" s="34">
        <f t="shared" ref="C12:Z12" si="3">$B$4*$B$7</f>
        <v>68000</v>
      </c>
      <c r="D12" s="34">
        <f t="shared" si="3"/>
        <v>68000</v>
      </c>
      <c r="E12" s="34">
        <f t="shared" si="3"/>
        <v>68000</v>
      </c>
      <c r="F12" s="34">
        <f t="shared" si="3"/>
        <v>68000</v>
      </c>
      <c r="G12" s="34">
        <f t="shared" si="3"/>
        <v>68000</v>
      </c>
      <c r="H12" s="34">
        <f t="shared" si="3"/>
        <v>68000</v>
      </c>
      <c r="I12" s="34">
        <f t="shared" si="3"/>
        <v>68000</v>
      </c>
      <c r="J12" s="34">
        <f t="shared" si="3"/>
        <v>68000</v>
      </c>
      <c r="K12" s="34">
        <f t="shared" si="3"/>
        <v>68000</v>
      </c>
      <c r="L12" s="34">
        <f t="shared" si="3"/>
        <v>68000</v>
      </c>
      <c r="M12" s="34">
        <f t="shared" si="3"/>
        <v>68000</v>
      </c>
      <c r="N12" s="34">
        <f t="shared" si="3"/>
        <v>68000</v>
      </c>
      <c r="O12" s="34">
        <f t="shared" si="3"/>
        <v>68000</v>
      </c>
      <c r="P12" s="34">
        <f t="shared" si="3"/>
        <v>68000</v>
      </c>
      <c r="Q12" s="34">
        <f t="shared" si="3"/>
        <v>68000</v>
      </c>
      <c r="R12" s="34">
        <f t="shared" si="3"/>
        <v>68000</v>
      </c>
      <c r="S12" s="34">
        <f t="shared" si="3"/>
        <v>68000</v>
      </c>
      <c r="T12" s="34">
        <f t="shared" si="3"/>
        <v>68000</v>
      </c>
      <c r="U12" s="34">
        <f t="shared" si="3"/>
        <v>68000</v>
      </c>
      <c r="V12" s="34">
        <f t="shared" si="3"/>
        <v>68000</v>
      </c>
      <c r="W12" s="34">
        <f t="shared" si="3"/>
        <v>68000</v>
      </c>
      <c r="X12" s="34">
        <f t="shared" si="3"/>
        <v>68000</v>
      </c>
      <c r="Y12" s="34">
        <f t="shared" si="3"/>
        <v>68000</v>
      </c>
      <c r="Z12" s="34">
        <f t="shared" si="3"/>
        <v>68000</v>
      </c>
    </row>
    <row r="13" spans="1:26">
      <c r="A13" t="s">
        <v>27</v>
      </c>
      <c r="B13" s="33">
        <f>IF(B9&lt;$B$4,$B$6*B9,$B$8*$B$6*B9)</f>
        <v>0</v>
      </c>
      <c r="C13" s="34">
        <f t="shared" ref="C13:Z13" si="4">IF(C9&lt;$B$4,$B$6*C9,$B$8*$B$6*C9)</f>
        <v>40000</v>
      </c>
      <c r="D13" s="34">
        <f t="shared" si="4"/>
        <v>80000</v>
      </c>
      <c r="E13" s="34">
        <f t="shared" si="4"/>
        <v>120000</v>
      </c>
      <c r="F13" s="34">
        <f t="shared" si="4"/>
        <v>160000</v>
      </c>
      <c r="G13" s="34">
        <f t="shared" si="4"/>
        <v>200000</v>
      </c>
      <c r="H13" s="34">
        <f t="shared" si="4"/>
        <v>240000</v>
      </c>
      <c r="I13" s="34">
        <f t="shared" si="4"/>
        <v>280000</v>
      </c>
      <c r="J13" s="34">
        <f t="shared" si="4"/>
        <v>320000</v>
      </c>
      <c r="K13" s="34">
        <f t="shared" si="4"/>
        <v>360000</v>
      </c>
      <c r="L13" s="34">
        <f t="shared" si="4"/>
        <v>400000</v>
      </c>
      <c r="M13" s="34">
        <f t="shared" si="4"/>
        <v>440000</v>
      </c>
      <c r="N13" s="34">
        <f t="shared" si="4"/>
        <v>480000</v>
      </c>
      <c r="O13" s="34">
        <f t="shared" si="4"/>
        <v>520000</v>
      </c>
      <c r="P13" s="34">
        <f t="shared" si="4"/>
        <v>560000</v>
      </c>
      <c r="Q13" s="34">
        <f t="shared" si="4"/>
        <v>600000</v>
      </c>
      <c r="R13" s="34">
        <f t="shared" si="4"/>
        <v>640000</v>
      </c>
      <c r="S13" s="34">
        <f t="shared" si="4"/>
        <v>408000</v>
      </c>
      <c r="T13" s="34">
        <f t="shared" si="4"/>
        <v>432000</v>
      </c>
      <c r="U13" s="34">
        <f t="shared" si="4"/>
        <v>456000</v>
      </c>
      <c r="V13" s="34">
        <f t="shared" si="4"/>
        <v>480000</v>
      </c>
      <c r="W13" s="34">
        <f t="shared" si="4"/>
        <v>504000</v>
      </c>
      <c r="X13" s="34">
        <f t="shared" si="4"/>
        <v>528000</v>
      </c>
      <c r="Y13" s="34">
        <f t="shared" si="4"/>
        <v>552000</v>
      </c>
      <c r="Z13" s="34">
        <f t="shared" si="4"/>
        <v>576000</v>
      </c>
    </row>
    <row r="14" spans="1:26">
      <c r="A14" t="s">
        <v>28</v>
      </c>
      <c r="B14" s="33">
        <f>IF(B9&lt;$B$4,0,(1-$B$8)*$B$6*B9)</f>
        <v>0</v>
      </c>
      <c r="C14" s="34">
        <f t="shared" ref="C14:Z14" si="5">IF(C9&lt;$B$4,0,(1-$B$8)*$B$6*C9)</f>
        <v>0</v>
      </c>
      <c r="D14" s="34">
        <f t="shared" si="5"/>
        <v>0</v>
      </c>
      <c r="E14" s="34">
        <f t="shared" si="5"/>
        <v>0</v>
      </c>
      <c r="F14" s="34">
        <f t="shared" si="5"/>
        <v>0</v>
      </c>
      <c r="G14" s="34">
        <f t="shared" si="5"/>
        <v>0</v>
      </c>
      <c r="H14" s="34">
        <f t="shared" si="5"/>
        <v>0</v>
      </c>
      <c r="I14" s="34">
        <f t="shared" si="5"/>
        <v>0</v>
      </c>
      <c r="J14" s="34">
        <f t="shared" si="5"/>
        <v>0</v>
      </c>
      <c r="K14" s="34">
        <f t="shared" si="5"/>
        <v>0</v>
      </c>
      <c r="L14" s="34">
        <f t="shared" si="5"/>
        <v>0</v>
      </c>
      <c r="M14" s="34">
        <f t="shared" si="5"/>
        <v>0</v>
      </c>
      <c r="N14" s="34">
        <f t="shared" si="5"/>
        <v>0</v>
      </c>
      <c r="O14" s="34">
        <f t="shared" si="5"/>
        <v>0</v>
      </c>
      <c r="P14" s="34">
        <f t="shared" si="5"/>
        <v>0</v>
      </c>
      <c r="Q14" s="34">
        <f t="shared" si="5"/>
        <v>0</v>
      </c>
      <c r="R14" s="34">
        <f t="shared" si="5"/>
        <v>0</v>
      </c>
      <c r="S14" s="34">
        <f t="shared" si="5"/>
        <v>272000</v>
      </c>
      <c r="T14" s="34">
        <f t="shared" si="5"/>
        <v>288000</v>
      </c>
      <c r="U14" s="34">
        <f t="shared" si="5"/>
        <v>304000</v>
      </c>
      <c r="V14" s="34">
        <f t="shared" si="5"/>
        <v>320000</v>
      </c>
      <c r="W14" s="34">
        <f t="shared" si="5"/>
        <v>336000</v>
      </c>
      <c r="X14" s="34">
        <f t="shared" si="5"/>
        <v>352000</v>
      </c>
      <c r="Y14" s="34">
        <f t="shared" si="5"/>
        <v>368000</v>
      </c>
      <c r="Z14" s="34">
        <f t="shared" si="5"/>
        <v>384000</v>
      </c>
    </row>
    <row r="15" spans="1:26">
      <c r="A15" t="str">
        <f>A10</f>
        <v>CITY(-), COUNCIL(+)</v>
      </c>
      <c r="B15" s="34" t="s">
        <v>140</v>
      </c>
      <c r="T15" s="33" t="s">
        <v>140</v>
      </c>
    </row>
    <row r="16" spans="1:26">
      <c r="A16" t="str">
        <f>A11</f>
        <v>MAN CITY</v>
      </c>
      <c r="B16" s="33" t="s">
        <v>76</v>
      </c>
      <c r="T16" s="33"/>
    </row>
    <row r="17" spans="1:20">
      <c r="A17" t="str">
        <f>A12</f>
        <v>COUNCIL</v>
      </c>
      <c r="B17" s="33" t="s">
        <v>77</v>
      </c>
      <c r="T17" s="33"/>
    </row>
    <row r="18" spans="1:20">
      <c r="A18" t="str">
        <f>A13</f>
        <v>MAN CITY(-)</v>
      </c>
      <c r="B18" s="33" t="s">
        <v>78</v>
      </c>
      <c r="T18" s="33" t="s">
        <v>140</v>
      </c>
    </row>
    <row r="19" spans="1:20">
      <c r="A19" t="str">
        <f>A14</f>
        <v>COUNCIL(+)</v>
      </c>
      <c r="B19" s="33" t="s">
        <v>79</v>
      </c>
      <c r="T19" s="33" t="s">
        <v>140</v>
      </c>
    </row>
    <row r="43" spans="1:2">
      <c r="A43" t="s">
        <v>26</v>
      </c>
      <c r="B43">
        <v>2</v>
      </c>
    </row>
  </sheetData>
  <phoneticPr fontId="8" type="noConversion"/>
  <printOptions headings="1"/>
  <pageMargins left="0.75" right="0.24" top="1" bottom="1" header="0.5" footer="0.5"/>
  <pageSetup paperSize="9" scale="63" orientation="portrait" horizontalDpi="4294967293" verticalDpi="4294967293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6"/>
  <sheetViews>
    <sheetView workbookViewId="0">
      <selection activeCell="B17" sqref="B17:B21"/>
    </sheetView>
  </sheetViews>
  <sheetFormatPr defaultRowHeight="12.75"/>
  <cols>
    <col min="1" max="1" width="30.5703125" bestFit="1" customWidth="1"/>
    <col min="2" max="2" width="12.7109375" bestFit="1" customWidth="1"/>
    <col min="3" max="3" width="48.140625" customWidth="1"/>
  </cols>
  <sheetData>
    <row r="1" spans="1:3" ht="18">
      <c r="A1" s="35" t="s">
        <v>47</v>
      </c>
      <c r="C1" s="36"/>
    </row>
    <row r="2" spans="1:3">
      <c r="B2" t="s">
        <v>83</v>
      </c>
    </row>
    <row r="4" spans="1:3">
      <c r="A4" s="11" t="s">
        <v>7</v>
      </c>
      <c r="B4" s="11"/>
      <c r="C4" s="11"/>
    </row>
    <row r="5" spans="1:3">
      <c r="A5" s="11" t="s">
        <v>125</v>
      </c>
      <c r="B5" s="8">
        <v>0.04</v>
      </c>
      <c r="C5" s="8"/>
    </row>
    <row r="6" spans="1:3" ht="15.75">
      <c r="A6" s="11" t="s">
        <v>126</v>
      </c>
      <c r="B6" s="8">
        <v>0.04</v>
      </c>
      <c r="C6" s="8"/>
    </row>
    <row r="7" spans="1:3">
      <c r="A7" s="11" t="s">
        <v>82</v>
      </c>
      <c r="B7" s="127">
        <v>0.2</v>
      </c>
      <c r="C7" s="8"/>
    </row>
    <row r="8" spans="1:3">
      <c r="A8" s="11" t="s">
        <v>71</v>
      </c>
      <c r="B8" s="128">
        <v>1</v>
      </c>
      <c r="C8" s="37"/>
    </row>
    <row r="9" spans="1:3">
      <c r="A9" s="11" t="s">
        <v>72</v>
      </c>
      <c r="B9" s="128">
        <v>1</v>
      </c>
    </row>
    <row r="10" spans="1:3">
      <c r="A10" s="112" t="s">
        <v>140</v>
      </c>
      <c r="B10" s="130" t="s">
        <v>140</v>
      </c>
    </row>
    <row r="11" spans="1:3">
      <c r="A11" s="11" t="s">
        <v>8</v>
      </c>
      <c r="B11" s="37"/>
    </row>
    <row r="12" spans="1:3">
      <c r="A12" s="10" t="s">
        <v>144</v>
      </c>
      <c r="B12" s="25">
        <f>(B5-B6+(B7^2)/2+SQRT((B6-B5-(B7^2)/2)^2+2*B6*(B7^2)))/(B7^2)</f>
        <v>2</v>
      </c>
      <c r="C12" s="131" t="s">
        <v>11</v>
      </c>
    </row>
    <row r="13" spans="1:3">
      <c r="A13" s="11" t="s">
        <v>145</v>
      </c>
      <c r="B13" s="129">
        <f>B8*B12/(B12-1)</f>
        <v>2</v>
      </c>
      <c r="C13" s="132" t="s">
        <v>12</v>
      </c>
    </row>
    <row r="14" spans="1:3">
      <c r="A14" s="11" t="s">
        <v>62</v>
      </c>
      <c r="B14" s="129">
        <f>IF(B9&gt;$B$13,B15,($B$13-$B$8)*((B9/$B$13)^$B$12))</f>
        <v>0.25</v>
      </c>
      <c r="C14" s="132" t="s">
        <v>46</v>
      </c>
    </row>
    <row r="15" spans="1:3">
      <c r="A15" s="11" t="s">
        <v>9</v>
      </c>
      <c r="B15" s="129">
        <f>IF(B9-$B$8&gt;0,(B9-$B$8),0)</f>
        <v>0</v>
      </c>
      <c r="C15" s="132" t="s">
        <v>13</v>
      </c>
    </row>
    <row r="16" spans="1:3">
      <c r="A16" s="11" t="s">
        <v>10</v>
      </c>
      <c r="B16" s="38">
        <f>MIN((((B9*($B$12-1))/(($B$8*$B$12)))^($B$12-1)),1)</f>
        <v>0.5</v>
      </c>
      <c r="C16" s="133" t="s">
        <v>14</v>
      </c>
    </row>
  </sheetData>
  <phoneticPr fontId="8" type="noConversion"/>
  <printOptions headings="1"/>
  <pageMargins left="0.75" right="0.75" top="1" bottom="1" header="0.5" footer="0.5"/>
  <pageSetup paperSize="9" scale="95" orientation="portrait" horizontalDpi="4294967293" vertic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47"/>
  <sheetViews>
    <sheetView workbookViewId="0">
      <selection activeCell="B1" sqref="B1"/>
    </sheetView>
  </sheetViews>
  <sheetFormatPr defaultRowHeight="12.75"/>
  <cols>
    <col min="1" max="1" width="30.5703125" bestFit="1" customWidth="1"/>
    <col min="2" max="10" width="7.5703125" customWidth="1"/>
  </cols>
  <sheetData>
    <row r="1" spans="1:10" ht="18">
      <c r="A1" s="35" t="s">
        <v>47</v>
      </c>
      <c r="C1" s="36"/>
      <c r="D1" s="36"/>
      <c r="E1" s="36"/>
      <c r="F1" s="36"/>
      <c r="G1" s="36"/>
      <c r="H1" s="36"/>
      <c r="I1" s="36"/>
      <c r="J1" s="36"/>
    </row>
    <row r="2" spans="1:10">
      <c r="B2" t="s">
        <v>6</v>
      </c>
    </row>
    <row r="4" spans="1:10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 t="s">
        <v>125</v>
      </c>
      <c r="B5" s="8">
        <f>B41</f>
        <v>0.04</v>
      </c>
      <c r="C5" s="8"/>
      <c r="D5" s="8"/>
      <c r="E5" s="8"/>
      <c r="F5" s="8"/>
      <c r="G5" s="8"/>
      <c r="H5" s="8"/>
      <c r="I5" s="8"/>
      <c r="J5" s="8"/>
    </row>
    <row r="6" spans="1:10" ht="15.75">
      <c r="A6" s="11" t="s">
        <v>126</v>
      </c>
      <c r="B6" s="8">
        <f>B42</f>
        <v>0.04</v>
      </c>
      <c r="C6" s="8"/>
      <c r="D6" s="8"/>
      <c r="E6" s="8"/>
      <c r="F6" s="8"/>
      <c r="G6" s="8"/>
      <c r="H6" s="8"/>
      <c r="I6" s="8"/>
      <c r="J6" s="8"/>
    </row>
    <row r="7" spans="1:10">
      <c r="A7" s="11" t="s">
        <v>82</v>
      </c>
      <c r="B7" s="8">
        <f>B43</f>
        <v>0.2</v>
      </c>
      <c r="C7" s="8"/>
      <c r="D7" s="8"/>
      <c r="E7" s="8"/>
      <c r="F7" s="8"/>
      <c r="G7" s="8"/>
      <c r="H7" s="8"/>
      <c r="I7" s="8"/>
      <c r="J7" s="8"/>
    </row>
    <row r="8" spans="1:10">
      <c r="A8" s="11" t="s">
        <v>71</v>
      </c>
      <c r="B8" s="37">
        <f>B44</f>
        <v>1</v>
      </c>
      <c r="C8" s="37"/>
      <c r="D8" s="37"/>
      <c r="E8" s="37"/>
      <c r="F8" s="37"/>
      <c r="G8" s="37"/>
      <c r="H8" s="37"/>
      <c r="I8" s="37"/>
      <c r="J8" s="37"/>
    </row>
    <row r="9" spans="1:10">
      <c r="A9" s="11" t="s">
        <v>72</v>
      </c>
      <c r="B9" s="37">
        <f>B45</f>
        <v>0</v>
      </c>
      <c r="C9" s="37">
        <f>B9+0.25</f>
        <v>0.25</v>
      </c>
      <c r="D9" s="37">
        <f t="shared" ref="D9:J9" si="0">C9+0.25</f>
        <v>0.5</v>
      </c>
      <c r="E9" s="37">
        <f t="shared" si="0"/>
        <v>0.75</v>
      </c>
      <c r="F9" s="37">
        <f t="shared" si="0"/>
        <v>1</v>
      </c>
      <c r="G9" s="37">
        <f t="shared" si="0"/>
        <v>1.25</v>
      </c>
      <c r="H9" s="37">
        <f t="shared" si="0"/>
        <v>1.5</v>
      </c>
      <c r="I9" s="37">
        <f t="shared" si="0"/>
        <v>1.75</v>
      </c>
      <c r="J9" s="37">
        <f t="shared" si="0"/>
        <v>2</v>
      </c>
    </row>
    <row r="10" spans="1:10">
      <c r="A10" s="11"/>
      <c r="B10" s="37"/>
      <c r="C10" s="37"/>
      <c r="D10" s="37"/>
      <c r="E10" s="37"/>
      <c r="F10" s="37"/>
      <c r="G10" s="37"/>
      <c r="H10" s="37"/>
      <c r="I10" s="37"/>
      <c r="J10" s="37"/>
    </row>
    <row r="11" spans="1:10">
      <c r="A11" s="11" t="s">
        <v>8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>
      <c r="A12" s="10" t="s">
        <v>144</v>
      </c>
      <c r="B12" s="25">
        <f>(B5-B6+(B7^2)/2+SQRT((B6-B5-(B7^2)/2)^2+2*B6*(B7^2)))/(B7^2)</f>
        <v>2</v>
      </c>
      <c r="C12" s="37"/>
      <c r="D12" s="37"/>
      <c r="E12" s="37"/>
      <c r="F12" s="37"/>
      <c r="G12" s="37"/>
      <c r="H12" s="37"/>
      <c r="I12" s="37"/>
      <c r="J12" s="37"/>
    </row>
    <row r="13" spans="1:10">
      <c r="A13" s="11" t="s">
        <v>145</v>
      </c>
      <c r="B13" s="37">
        <f>B8*B12/(B12-1)</f>
        <v>2</v>
      </c>
      <c r="C13" s="37"/>
      <c r="D13" s="37"/>
      <c r="E13" s="37"/>
      <c r="F13" s="37"/>
      <c r="G13" s="37"/>
      <c r="H13" s="37"/>
      <c r="I13" s="37"/>
      <c r="J13" s="37"/>
    </row>
    <row r="14" spans="1:10">
      <c r="A14" s="11" t="s">
        <v>62</v>
      </c>
      <c r="B14" s="37">
        <f t="shared" ref="B14:J14" si="1">IF(B9&gt;$B$13,B15,($B$13-$B$8)*((B9/$B$13)^$B$12))</f>
        <v>0</v>
      </c>
      <c r="C14" s="37">
        <f t="shared" si="1"/>
        <v>1.5625E-2</v>
      </c>
      <c r="D14" s="37">
        <f t="shared" si="1"/>
        <v>6.25E-2</v>
      </c>
      <c r="E14" s="37">
        <f t="shared" si="1"/>
        <v>0.140625</v>
      </c>
      <c r="F14" s="37">
        <f t="shared" si="1"/>
        <v>0.25</v>
      </c>
      <c r="G14" s="37">
        <f t="shared" si="1"/>
        <v>0.390625</v>
      </c>
      <c r="H14" s="37">
        <f t="shared" si="1"/>
        <v>0.5625</v>
      </c>
      <c r="I14" s="37">
        <f t="shared" si="1"/>
        <v>0.765625</v>
      </c>
      <c r="J14" s="37">
        <f t="shared" si="1"/>
        <v>1</v>
      </c>
    </row>
    <row r="15" spans="1:10">
      <c r="A15" s="11" t="s">
        <v>9</v>
      </c>
      <c r="B15" s="37">
        <f t="shared" ref="B15:J15" si="2">IF(B9-$B$8&gt;0,(B9-$B$8),0)</f>
        <v>0</v>
      </c>
      <c r="C15" s="37">
        <f t="shared" si="2"/>
        <v>0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0.25</v>
      </c>
      <c r="H15" s="37">
        <f t="shared" si="2"/>
        <v>0.5</v>
      </c>
      <c r="I15" s="37">
        <f t="shared" si="2"/>
        <v>0.75</v>
      </c>
      <c r="J15" s="37">
        <f t="shared" si="2"/>
        <v>1</v>
      </c>
    </row>
    <row r="16" spans="1:10">
      <c r="A16" s="11" t="s">
        <v>10</v>
      </c>
      <c r="B16" s="38">
        <f t="shared" ref="B16:J16" si="3">MIN((((B9*($B$12-1))/(($B$8*$B$12)))^($B$12-1)),1)</f>
        <v>0</v>
      </c>
      <c r="C16" s="38">
        <f t="shared" si="3"/>
        <v>0.125</v>
      </c>
      <c r="D16" s="38">
        <f t="shared" si="3"/>
        <v>0.25</v>
      </c>
      <c r="E16" s="38">
        <f t="shared" si="3"/>
        <v>0.375</v>
      </c>
      <c r="F16" s="38">
        <f t="shared" si="3"/>
        <v>0.5</v>
      </c>
      <c r="G16" s="38">
        <f t="shared" si="3"/>
        <v>0.625</v>
      </c>
      <c r="H16" s="38">
        <f t="shared" si="3"/>
        <v>0.75</v>
      </c>
      <c r="I16" s="38">
        <f t="shared" si="3"/>
        <v>0.875</v>
      </c>
      <c r="J16" s="38">
        <f t="shared" si="3"/>
        <v>1</v>
      </c>
    </row>
    <row r="17" spans="1:10">
      <c r="A17" s="20" t="str">
        <f>A14</f>
        <v>DEVELOPMENT OPTION VALUE</v>
      </c>
      <c r="B17" s="39" t="s">
        <v>46</v>
      </c>
      <c r="C17" s="11"/>
      <c r="D17" s="11"/>
      <c r="E17" s="11"/>
      <c r="F17" s="11"/>
      <c r="G17" s="11"/>
      <c r="H17" s="11"/>
      <c r="I17" s="11"/>
      <c r="J17" s="11"/>
    </row>
    <row r="18" spans="1:10">
      <c r="A18" s="20" t="str">
        <f>A16</f>
        <v>DELTA</v>
      </c>
      <c r="B18" s="40" t="s">
        <v>14</v>
      </c>
      <c r="C18" s="11"/>
      <c r="D18" s="11"/>
      <c r="E18" s="11"/>
      <c r="F18" s="11"/>
      <c r="G18" s="11"/>
      <c r="H18" s="11"/>
      <c r="I18" s="11"/>
      <c r="J18" s="11"/>
    </row>
    <row r="41" spans="1:2">
      <c r="A41" s="11" t="s">
        <v>125</v>
      </c>
      <c r="B41" s="8">
        <v>0.04</v>
      </c>
    </row>
    <row r="42" spans="1:2" ht="15.75">
      <c r="A42" s="11" t="s">
        <v>126</v>
      </c>
      <c r="B42" s="8">
        <v>0.04</v>
      </c>
    </row>
    <row r="43" spans="1:2">
      <c r="A43" s="11" t="s">
        <v>82</v>
      </c>
      <c r="B43" s="51">
        <v>0.2</v>
      </c>
    </row>
    <row r="44" spans="1:2">
      <c r="A44" s="11" t="s">
        <v>71</v>
      </c>
      <c r="B44" s="37">
        <v>1</v>
      </c>
    </row>
    <row r="45" spans="1:2">
      <c r="A45" s="11" t="s">
        <v>72</v>
      </c>
      <c r="B45" s="37">
        <v>0</v>
      </c>
    </row>
    <row r="47" spans="1:2">
      <c r="A47" t="str">
        <f>A13</f>
        <v>V*</v>
      </c>
      <c r="B47" s="81">
        <f>B13</f>
        <v>2</v>
      </c>
    </row>
  </sheetData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7"/>
  <sheetViews>
    <sheetView topLeftCell="A8" workbookViewId="0">
      <selection activeCell="A14" sqref="A14"/>
    </sheetView>
  </sheetViews>
  <sheetFormatPr defaultRowHeight="12.75"/>
  <cols>
    <col min="1" max="1" width="30.5703125" bestFit="1" customWidth="1"/>
    <col min="2" max="2" width="7.5703125" customWidth="1"/>
    <col min="3" max="10" width="8.5703125" customWidth="1"/>
  </cols>
  <sheetData>
    <row r="1" spans="1:10" ht="18">
      <c r="A1" s="35" t="s">
        <v>47</v>
      </c>
      <c r="C1" s="36"/>
      <c r="D1" s="36"/>
      <c r="E1" s="36"/>
      <c r="F1" s="36"/>
      <c r="G1" s="36"/>
      <c r="H1" s="36"/>
      <c r="I1" s="36"/>
      <c r="J1" s="36"/>
    </row>
    <row r="2" spans="1:10">
      <c r="B2" t="s">
        <v>6</v>
      </c>
    </row>
    <row r="4" spans="1:10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 t="s">
        <v>125</v>
      </c>
      <c r="B5" s="8">
        <v>0.04</v>
      </c>
      <c r="C5" s="8"/>
      <c r="D5" s="8"/>
      <c r="E5" s="8"/>
      <c r="F5" s="8"/>
      <c r="G5" s="8"/>
      <c r="H5" s="8"/>
      <c r="I5" s="8"/>
      <c r="J5" s="8"/>
    </row>
    <row r="6" spans="1:10" ht="15.75">
      <c r="A6" s="11" t="s">
        <v>126</v>
      </c>
      <c r="B6" s="8">
        <v>0.04</v>
      </c>
      <c r="C6" s="8"/>
      <c r="D6" s="8"/>
      <c r="E6" s="8"/>
      <c r="F6" s="8"/>
      <c r="G6" s="8"/>
      <c r="H6" s="8"/>
      <c r="I6" s="8"/>
      <c r="J6" s="8"/>
    </row>
    <row r="7" spans="1:10">
      <c r="A7" s="11" t="s">
        <v>60</v>
      </c>
      <c r="B7" s="41">
        <v>0.05</v>
      </c>
      <c r="C7" s="41">
        <f>B7+0.025</f>
        <v>7.5000000000000011E-2</v>
      </c>
      <c r="D7" s="41">
        <f t="shared" ref="D7:J7" si="0">C7+0.025</f>
        <v>0.1</v>
      </c>
      <c r="E7" s="41">
        <f t="shared" si="0"/>
        <v>0.125</v>
      </c>
      <c r="F7" s="41">
        <f t="shared" si="0"/>
        <v>0.15</v>
      </c>
      <c r="G7" s="41">
        <f t="shared" si="0"/>
        <v>0.17499999999999999</v>
      </c>
      <c r="H7" s="41">
        <f t="shared" si="0"/>
        <v>0.19999999999999998</v>
      </c>
      <c r="I7" s="41">
        <f t="shared" si="0"/>
        <v>0.22499999999999998</v>
      </c>
      <c r="J7" s="41">
        <f t="shared" si="0"/>
        <v>0.24999999999999997</v>
      </c>
    </row>
    <row r="8" spans="1:10">
      <c r="A8" s="11" t="s">
        <v>4</v>
      </c>
      <c r="B8" s="37">
        <v>1</v>
      </c>
      <c r="C8" s="37"/>
      <c r="D8" s="37"/>
      <c r="E8" s="37"/>
      <c r="F8" s="37"/>
      <c r="G8" s="37"/>
      <c r="H8" s="37"/>
      <c r="I8" s="37"/>
      <c r="J8" s="37"/>
    </row>
    <row r="9" spans="1:10">
      <c r="A9" s="11" t="s">
        <v>61</v>
      </c>
      <c r="B9" s="37">
        <v>1</v>
      </c>
      <c r="C9" s="37" t="s">
        <v>140</v>
      </c>
      <c r="D9" s="37" t="s">
        <v>140</v>
      </c>
      <c r="E9" s="37" t="s">
        <v>140</v>
      </c>
      <c r="F9" s="37" t="s">
        <v>140</v>
      </c>
      <c r="G9" s="37" t="s">
        <v>140</v>
      </c>
      <c r="H9" s="37" t="s">
        <v>140</v>
      </c>
      <c r="I9" s="37" t="s">
        <v>140</v>
      </c>
      <c r="J9" s="37" t="s">
        <v>140</v>
      </c>
    </row>
    <row r="10" spans="1:10">
      <c r="A10" s="11"/>
      <c r="B10" s="37"/>
      <c r="C10" s="37"/>
      <c r="D10" s="37"/>
      <c r="E10" s="37"/>
      <c r="F10" s="37"/>
      <c r="G10" s="37"/>
      <c r="H10" s="37"/>
      <c r="I10" s="37"/>
      <c r="J10" s="37"/>
    </row>
    <row r="11" spans="1:10">
      <c r="A11" s="11" t="s">
        <v>8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>
      <c r="A12" s="10" t="s">
        <v>144</v>
      </c>
      <c r="B12" s="37">
        <f>($B$5-$B$6+(B7^2)/2+SQRT(($B$6-$B$5-(B7^2)/2)^2+2*$B$6*(B7^2)))/(B7^2)</f>
        <v>6.1789083458002727</v>
      </c>
      <c r="C12" s="37">
        <f t="shared" ref="C12:J12" si="1">($B$5-$B$6+(C7^2)/2+SQRT(($B$6-$B$5-(C7^2)/2)^2+2*$B$6*(C7^2)))/(C7^2)</f>
        <v>4.304237403504442</v>
      </c>
      <c r="D12" s="37">
        <f t="shared" si="1"/>
        <v>3.3722813232690143</v>
      </c>
      <c r="E12" s="37">
        <f t="shared" si="1"/>
        <v>2.8173260452512934</v>
      </c>
      <c r="F12" s="37">
        <f t="shared" si="1"/>
        <v>2.4507833184532708</v>
      </c>
      <c r="G12" s="37">
        <f t="shared" si="1"/>
        <v>2.1918170403324302</v>
      </c>
      <c r="H12" s="37">
        <f t="shared" si="1"/>
        <v>2</v>
      </c>
      <c r="I12" s="37">
        <f t="shared" si="1"/>
        <v>1.8528661846539913</v>
      </c>
      <c r="J12" s="37">
        <f t="shared" si="1"/>
        <v>1.7369316876852983</v>
      </c>
    </row>
    <row r="13" spans="1:10">
      <c r="A13" s="11" t="s">
        <v>145</v>
      </c>
      <c r="B13" s="37">
        <f>$B$8*B12/(B12-1)</f>
        <v>1.1930908858062585</v>
      </c>
      <c r="C13" s="37">
        <f t="shared" ref="C13:J13" si="2">$B$8*C12/(C12-1)</f>
        <v>1.3026416924339062</v>
      </c>
      <c r="D13" s="37">
        <f t="shared" si="2"/>
        <v>1.4215351654086268</v>
      </c>
      <c r="E13" s="37">
        <f t="shared" si="2"/>
        <v>1.5502589932131432</v>
      </c>
      <c r="F13" s="37">
        <f t="shared" si="2"/>
        <v>1.6892828083149825</v>
      </c>
      <c r="G13" s="37">
        <f t="shared" si="2"/>
        <v>1.8390549607522584</v>
      </c>
      <c r="H13" s="37">
        <f t="shared" si="2"/>
        <v>2</v>
      </c>
      <c r="I13" s="37">
        <f t="shared" si="2"/>
        <v>2.1725168824763537</v>
      </c>
      <c r="J13" s="37">
        <f t="shared" si="2"/>
        <v>2.3569778810041391</v>
      </c>
    </row>
    <row r="14" spans="1:10">
      <c r="A14" s="84" t="s">
        <v>70</v>
      </c>
      <c r="B14" s="37">
        <f>IF($B$9&gt;B13,B17,(B13-$B$8)*(($B$9/B13)^B12))</f>
        <v>6.4863902219186337E-2</v>
      </c>
      <c r="C14" s="37">
        <f t="shared" ref="C14:J14" si="3">IF($B$9&gt;C13,C17,(C13-$B$8)*(($B$9/C13)^C12))</f>
        <v>9.6982820093864094E-2</v>
      </c>
      <c r="D14" s="37">
        <f t="shared" si="3"/>
        <v>0.12873367971648519</v>
      </c>
      <c r="E14" s="37">
        <f t="shared" si="3"/>
        <v>0.16000600060882611</v>
      </c>
      <c r="F14" s="37">
        <f t="shared" si="3"/>
        <v>0.19069894727774556</v>
      </c>
      <c r="G14" s="37">
        <f t="shared" si="3"/>
        <v>0.22072281110023048</v>
      </c>
      <c r="H14" s="37">
        <f t="shared" si="3"/>
        <v>0.25</v>
      </c>
      <c r="I14" s="37">
        <f t="shared" si="3"/>
        <v>0.27846554057978989</v>
      </c>
      <c r="J14" s="37">
        <f t="shared" si="3"/>
        <v>0.30606712889071547</v>
      </c>
    </row>
    <row r="15" spans="1:10">
      <c r="A15" s="11" t="s">
        <v>10</v>
      </c>
      <c r="B15" s="38">
        <f>MIN(((($B$9*(B12-1))/(($B$8*B12)))^(B12-1)),1)</f>
        <v>0.40078810676330334</v>
      </c>
      <c r="C15" s="38">
        <f t="shared" ref="C15:J15" si="4">MIN(((($B$9*(C12-1))/(($B$8*C12)))^(C12-1)),1)</f>
        <v>0.41743708174535205</v>
      </c>
      <c r="D15" s="38">
        <f t="shared" si="4"/>
        <v>0.43412618378359819</v>
      </c>
      <c r="E15" s="38">
        <f t="shared" si="4"/>
        <v>0.45078907291174003</v>
      </c>
      <c r="F15" s="38">
        <f t="shared" si="4"/>
        <v>0.46736179883489865</v>
      </c>
      <c r="G15" s="38">
        <f t="shared" si="4"/>
        <v>0.48378401855956116</v>
      </c>
      <c r="H15" s="38">
        <f t="shared" si="4"/>
        <v>0.5</v>
      </c>
      <c r="I15" s="38">
        <f t="shared" si="4"/>
        <v>0.51595938373168659</v>
      </c>
      <c r="J15" s="38">
        <f t="shared" si="4"/>
        <v>0.53161769472914411</v>
      </c>
    </row>
    <row r="16" spans="1:10">
      <c r="A16" s="11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11" t="s">
        <v>9</v>
      </c>
      <c r="B17" s="37">
        <f>IF($B$9-$B$8&gt;0,($B$9-$B$8),0)</f>
        <v>0</v>
      </c>
      <c r="C17" s="37">
        <f>IF($B$9-$B$8&gt;0,($B$9-$B$8),0)</f>
        <v>0</v>
      </c>
      <c r="D17" s="37">
        <f t="shared" ref="D17:J17" si="5">IF($B$9-$B$8&gt;0,($B$9-$B$8),0)</f>
        <v>0</v>
      </c>
      <c r="E17" s="37">
        <f t="shared" si="5"/>
        <v>0</v>
      </c>
      <c r="F17" s="37">
        <f t="shared" si="5"/>
        <v>0</v>
      </c>
      <c r="G17" s="37">
        <f t="shared" si="5"/>
        <v>0</v>
      </c>
      <c r="H17" s="37">
        <f t="shared" si="5"/>
        <v>0</v>
      </c>
      <c r="I17" s="37">
        <f t="shared" si="5"/>
        <v>0</v>
      </c>
      <c r="J17" s="37">
        <f t="shared" si="5"/>
        <v>0</v>
      </c>
    </row>
  </sheetData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50"/>
  <sheetViews>
    <sheetView topLeftCell="A18" workbookViewId="0">
      <selection activeCell="A18" sqref="A18"/>
    </sheetView>
  </sheetViews>
  <sheetFormatPr defaultRowHeight="12.75"/>
  <cols>
    <col min="2" max="3" width="10.7109375" customWidth="1"/>
    <col min="11" max="11" width="40" bestFit="1" customWidth="1"/>
  </cols>
  <sheetData>
    <row r="1" spans="1:11" ht="15.75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</row>
    <row r="3" spans="1:11" ht="18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</row>
    <row r="4" spans="1:11">
      <c r="A4" s="42" t="s">
        <v>148</v>
      </c>
      <c r="B4" t="s">
        <v>140</v>
      </c>
      <c r="C4" t="s">
        <v>140</v>
      </c>
      <c r="D4" t="s">
        <v>140</v>
      </c>
      <c r="E4" t="s">
        <v>140</v>
      </c>
      <c r="F4" t="s">
        <v>140</v>
      </c>
      <c r="G4" t="s">
        <v>140</v>
      </c>
      <c r="H4" t="s">
        <v>140</v>
      </c>
    </row>
    <row r="5" spans="1:11">
      <c r="A5" t="s">
        <v>0</v>
      </c>
      <c r="B5" s="4">
        <v>1</v>
      </c>
      <c r="C5" s="4">
        <f>B5</f>
        <v>1</v>
      </c>
      <c r="D5" s="4">
        <f t="shared" ref="D5:J5" si="0">C5</f>
        <v>1</v>
      </c>
      <c r="E5" s="4">
        <f t="shared" si="0"/>
        <v>1</v>
      </c>
      <c r="F5" s="4">
        <f t="shared" si="0"/>
        <v>1</v>
      </c>
      <c r="G5" s="4">
        <f t="shared" si="0"/>
        <v>1</v>
      </c>
      <c r="H5" s="4">
        <f t="shared" si="0"/>
        <v>1</v>
      </c>
      <c r="I5" s="4">
        <f t="shared" si="0"/>
        <v>1</v>
      </c>
      <c r="J5" s="4">
        <f t="shared" si="0"/>
        <v>1</v>
      </c>
    </row>
    <row r="6" spans="1:11">
      <c r="A6" t="s">
        <v>29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</row>
    <row r="7" spans="1:11">
      <c r="A7" s="2" t="s">
        <v>3</v>
      </c>
      <c r="B7" s="4">
        <v>0.2</v>
      </c>
      <c r="C7" s="4">
        <f t="shared" ref="C7:J9" si="1">B7</f>
        <v>0.2</v>
      </c>
      <c r="D7" s="4">
        <f t="shared" si="1"/>
        <v>0.2</v>
      </c>
      <c r="E7" s="4">
        <f t="shared" si="1"/>
        <v>0.2</v>
      </c>
      <c r="F7" s="4">
        <f t="shared" si="1"/>
        <v>0.2</v>
      </c>
      <c r="G7" s="4">
        <f t="shared" si="1"/>
        <v>0.2</v>
      </c>
      <c r="H7" s="4">
        <f t="shared" si="1"/>
        <v>0.2</v>
      </c>
      <c r="I7" s="4">
        <f t="shared" si="1"/>
        <v>0.2</v>
      </c>
      <c r="J7" s="4">
        <f t="shared" si="1"/>
        <v>0.2</v>
      </c>
    </row>
    <row r="8" spans="1:11">
      <c r="A8" s="85" t="s">
        <v>1</v>
      </c>
      <c r="B8" s="86">
        <v>0.02</v>
      </c>
      <c r="C8" s="86">
        <f>B8+0.005</f>
        <v>2.5000000000000001E-2</v>
      </c>
      <c r="D8" s="86">
        <f t="shared" ref="D8:J8" si="2">C8+0.005</f>
        <v>3.0000000000000002E-2</v>
      </c>
      <c r="E8" s="86">
        <f t="shared" si="2"/>
        <v>3.5000000000000003E-2</v>
      </c>
      <c r="F8" s="86">
        <f t="shared" si="2"/>
        <v>0.04</v>
      </c>
      <c r="G8" s="86">
        <f t="shared" si="2"/>
        <v>4.4999999999999998E-2</v>
      </c>
      <c r="H8" s="86">
        <f t="shared" si="2"/>
        <v>4.9999999999999996E-2</v>
      </c>
      <c r="I8" s="86">
        <f t="shared" si="2"/>
        <v>5.4999999999999993E-2</v>
      </c>
      <c r="J8" s="86">
        <f t="shared" si="2"/>
        <v>5.9999999999999991E-2</v>
      </c>
    </row>
    <row r="9" spans="1:11">
      <c r="A9" s="2" t="s">
        <v>187</v>
      </c>
      <c r="B9">
        <v>0.04</v>
      </c>
      <c r="C9">
        <f t="shared" si="1"/>
        <v>0.04</v>
      </c>
      <c r="D9">
        <f t="shared" si="1"/>
        <v>0.04</v>
      </c>
      <c r="E9">
        <f t="shared" si="1"/>
        <v>0.04</v>
      </c>
      <c r="F9">
        <f t="shared" si="1"/>
        <v>0.04</v>
      </c>
      <c r="G9" s="4">
        <f t="shared" si="1"/>
        <v>0.04</v>
      </c>
      <c r="H9" s="4">
        <f t="shared" si="1"/>
        <v>0.04</v>
      </c>
      <c r="I9" s="4">
        <f t="shared" si="1"/>
        <v>0.04</v>
      </c>
      <c r="J9" s="4">
        <f t="shared" si="1"/>
        <v>0.04</v>
      </c>
    </row>
    <row r="10" spans="1:11">
      <c r="A10" s="42" t="s">
        <v>150</v>
      </c>
    </row>
    <row r="11" spans="1:11">
      <c r="A11" t="s">
        <v>70</v>
      </c>
      <c r="B11" s="4">
        <f>IF(B5&lt;B14,B15*(B5^B16),B12)</f>
        <v>0.19442768285708267</v>
      </c>
      <c r="C11" s="4">
        <f t="shared" ref="C11:J11" si="3">IF(C5&lt;C14,C15*(C5^C16),C12)</f>
        <v>0.2077116735186976</v>
      </c>
      <c r="D11" s="4">
        <f t="shared" si="3"/>
        <v>0.22148883734991726</v>
      </c>
      <c r="E11" s="4">
        <f t="shared" si="3"/>
        <v>0.23562979124734945</v>
      </c>
      <c r="F11" s="4">
        <f t="shared" si="3"/>
        <v>0.25000000000000006</v>
      </c>
      <c r="G11" s="4">
        <f t="shared" si="3"/>
        <v>0.26446883388207576</v>
      </c>
      <c r="H11" s="4">
        <f t="shared" si="3"/>
        <v>0.27891679653772417</v>
      </c>
      <c r="I11" s="4">
        <f t="shared" si="3"/>
        <v>0.29324023055242654</v>
      </c>
      <c r="J11" s="4">
        <f t="shared" si="3"/>
        <v>0.30735350239315212</v>
      </c>
      <c r="K11" s="14" t="s">
        <v>49</v>
      </c>
    </row>
    <row r="12" spans="1:11">
      <c r="A12" t="s">
        <v>30</v>
      </c>
      <c r="B12" s="4">
        <f t="shared" ref="B12:H12" si="4">B5-B6</f>
        <v>0</v>
      </c>
      <c r="C12" s="4">
        <f t="shared" si="4"/>
        <v>0</v>
      </c>
      <c r="D12" s="4">
        <f t="shared" si="4"/>
        <v>0</v>
      </c>
      <c r="E12" s="4">
        <f t="shared" si="4"/>
        <v>0</v>
      </c>
      <c r="F12" s="4">
        <f t="shared" si="4"/>
        <v>0</v>
      </c>
      <c r="G12" s="4">
        <f t="shared" si="4"/>
        <v>0</v>
      </c>
      <c r="H12" s="4">
        <f t="shared" si="4"/>
        <v>0</v>
      </c>
      <c r="I12" s="4">
        <f>I5-I6</f>
        <v>0</v>
      </c>
      <c r="J12" s="4">
        <f>J5-J6</f>
        <v>0</v>
      </c>
      <c r="K12" s="14" t="s">
        <v>50</v>
      </c>
    </row>
    <row r="13" spans="1:11">
      <c r="A13" t="s">
        <v>128</v>
      </c>
      <c r="B13" s="4">
        <f t="shared" ref="B13:J13" si="5">B15*B16*(B5^(B16-1))</f>
        <v>0.46938994885434387</v>
      </c>
      <c r="C13" s="4">
        <f t="shared" si="5"/>
        <v>0.47664160339522865</v>
      </c>
      <c r="D13" s="4">
        <f t="shared" si="5"/>
        <v>0.48420575342880573</v>
      </c>
      <c r="E13" s="4">
        <f t="shared" si="5"/>
        <v>0.49201561910156022</v>
      </c>
      <c r="F13" s="4">
        <f t="shared" si="5"/>
        <v>0.5</v>
      </c>
      <c r="G13" s="4">
        <f t="shared" si="5"/>
        <v>0.5080881639981768</v>
      </c>
      <c r="H13" s="4">
        <f t="shared" si="5"/>
        <v>0.51621392416888801</v>
      </c>
      <c r="I13" s="4">
        <f t="shared" si="5"/>
        <v>0.52431846950067373</v>
      </c>
      <c r="J13" s="4">
        <f t="shared" si="5"/>
        <v>0.53235188202918193</v>
      </c>
      <c r="K13" s="14" t="s">
        <v>51</v>
      </c>
    </row>
    <row r="14" spans="1:11">
      <c r="A14" t="s">
        <v>145</v>
      </c>
      <c r="B14" s="4">
        <f t="shared" ref="B14:H14" si="6">(B16/(B16-1))*B6</f>
        <v>1.7071067811865477</v>
      </c>
      <c r="C14" s="4">
        <f t="shared" si="6"/>
        <v>1.7723635432250344</v>
      </c>
      <c r="D14" s="4">
        <f t="shared" si="6"/>
        <v>1.8430703308172538</v>
      </c>
      <c r="E14" s="4">
        <f t="shared" si="6"/>
        <v>1.9190437444199768</v>
      </c>
      <c r="F14" s="4">
        <f t="shared" si="6"/>
        <v>2.0000000000000004</v>
      </c>
      <c r="G14" s="4">
        <f t="shared" si="6"/>
        <v>2.0855823048033115</v>
      </c>
      <c r="H14" s="4">
        <f t="shared" si="6"/>
        <v>2.1753905296791061</v>
      </c>
      <c r="I14" s="4">
        <f>(I16/(I16-1))*I6</f>
        <v>2.2690084184781294</v>
      </c>
      <c r="J14" s="4">
        <f>(J16/(J16-1))*J6</f>
        <v>2.3660254037844388</v>
      </c>
      <c r="K14" s="14" t="s">
        <v>52</v>
      </c>
    </row>
    <row r="15" spans="1:11">
      <c r="A15" t="s">
        <v>151</v>
      </c>
      <c r="B15" s="4">
        <f t="shared" ref="B15:H15" si="7">(B14-B6)/(B14^B16)</f>
        <v>0.19442768285708267</v>
      </c>
      <c r="C15" s="4">
        <f t="shared" si="7"/>
        <v>0.2077116735186976</v>
      </c>
      <c r="D15" s="4">
        <f t="shared" si="7"/>
        <v>0.22148883734991726</v>
      </c>
      <c r="E15" s="4">
        <f t="shared" si="7"/>
        <v>0.23562979124734945</v>
      </c>
      <c r="F15" s="4">
        <f t="shared" si="7"/>
        <v>0.25000000000000006</v>
      </c>
      <c r="G15" s="4">
        <f t="shared" si="7"/>
        <v>0.26446883388207576</v>
      </c>
      <c r="H15" s="4">
        <f t="shared" si="7"/>
        <v>0.27891679653772417</v>
      </c>
      <c r="I15" s="4">
        <f>(I14-I6)/(I14^I16)</f>
        <v>0.29324023055242654</v>
      </c>
      <c r="J15" s="4">
        <f>(J14-J6)/(J14^J16)</f>
        <v>0.30735350239315212</v>
      </c>
      <c r="K15" s="14" t="s">
        <v>53</v>
      </c>
    </row>
    <row r="16" spans="1:11">
      <c r="A16" s="2" t="s">
        <v>152</v>
      </c>
      <c r="B16" s="4">
        <f>0.5-(B8-B9)/(B7^2)+SQRT(((B8-B9)/(B7^2)-0.5)^2 + (2*B8)/(B7^2))</f>
        <v>2.4142135623730949</v>
      </c>
      <c r="C16" s="4">
        <f t="shared" ref="C16:H16" si="8">0.5-(C8-C9)/(C7^2)+SQRT(((C8-C9)/(C7^2)-0.5)^2 + 2*C8/(C7^2))</f>
        <v>2.294727086450068</v>
      </c>
      <c r="D16" s="4">
        <f t="shared" si="8"/>
        <v>2.1861406616345067</v>
      </c>
      <c r="E16" s="4">
        <f t="shared" si="8"/>
        <v>2.0880874888399528</v>
      </c>
      <c r="F16" s="4">
        <f t="shared" si="8"/>
        <v>1.9999999999999998</v>
      </c>
      <c r="G16" s="4">
        <f t="shared" si="8"/>
        <v>1.9211646096066226</v>
      </c>
      <c r="H16" s="4">
        <f t="shared" si="8"/>
        <v>1.8507810593582121</v>
      </c>
      <c r="I16" s="4">
        <f>0.5-(I8-I9)/(I7^2)+SQRT(((I8-I9)/(I7^2)-0.5)^2 + 2*I8/(I7^2))</f>
        <v>1.7880168369562588</v>
      </c>
      <c r="J16" s="4">
        <f>0.5-(J8-J9)/(J7^2)+SQRT(((J8-J9)/(J7^2)-0.5)^2 + 2*J8/(J7^2))</f>
        <v>1.7320508075688772</v>
      </c>
      <c r="K16" s="6"/>
    </row>
    <row r="17" spans="1:11">
      <c r="A17" s="2" t="s">
        <v>35</v>
      </c>
      <c r="I17" s="14" t="s">
        <v>54</v>
      </c>
      <c r="K17" s="6"/>
    </row>
    <row r="18" spans="1:11">
      <c r="A18" s="17" t="s">
        <v>184</v>
      </c>
      <c r="B18" s="4">
        <f t="shared" ref="B18:J18" si="9">0.5*(B7^2)*(B5^2)*B19+(B8-B9)*B5*B13-B8*B11</f>
        <v>0</v>
      </c>
      <c r="C18" s="4">
        <f t="shared" si="9"/>
        <v>0</v>
      </c>
      <c r="D18" s="4">
        <f t="shared" si="9"/>
        <v>0</v>
      </c>
      <c r="E18" s="4">
        <f t="shared" si="9"/>
        <v>0</v>
      </c>
      <c r="F18" s="4">
        <f t="shared" si="9"/>
        <v>0</v>
      </c>
      <c r="G18" s="4">
        <f t="shared" si="9"/>
        <v>0</v>
      </c>
      <c r="H18" s="4">
        <f t="shared" si="9"/>
        <v>0</v>
      </c>
      <c r="I18" s="4">
        <f t="shared" si="9"/>
        <v>0</v>
      </c>
      <c r="J18" s="4">
        <f t="shared" si="9"/>
        <v>0</v>
      </c>
      <c r="K18" s="14" t="s">
        <v>55</v>
      </c>
    </row>
    <row r="19" spans="1:11">
      <c r="A19" t="s">
        <v>127</v>
      </c>
      <c r="B19" s="4">
        <f>B15*B16*(B16-1)*(B5^(B16-2))</f>
        <v>0.66381763171142649</v>
      </c>
      <c r="C19" s="4">
        <f t="shared" ref="C19:J19" si="10">C15*C16*(C16-1)*(C5^(C16-2))</f>
        <v>0.61712079444479317</v>
      </c>
      <c r="D19" s="4">
        <f t="shared" si="10"/>
        <v>0.57433613273927842</v>
      </c>
      <c r="E19" s="4">
        <f t="shared" si="10"/>
        <v>0.53535603945825139</v>
      </c>
      <c r="F19" s="4">
        <f t="shared" si="10"/>
        <v>0.49999999999999989</v>
      </c>
      <c r="G19" s="4">
        <f t="shared" si="10"/>
        <v>0.46803283523512618</v>
      </c>
      <c r="H19" s="4">
        <f t="shared" si="10"/>
        <v>0.4391850292598663</v>
      </c>
      <c r="I19" s="4">
        <f t="shared" si="10"/>
        <v>0.41317178189366754</v>
      </c>
      <c r="J19" s="4">
        <f t="shared" si="10"/>
        <v>0.38970862515027427</v>
      </c>
      <c r="K19" s="14" t="s">
        <v>56</v>
      </c>
    </row>
    <row r="20" spans="1:11">
      <c r="A20" t="s">
        <v>33</v>
      </c>
      <c r="B20" s="4">
        <f>B15*B16*(B14^(B16-1))</f>
        <v>1</v>
      </c>
      <c r="C20" s="4">
        <f t="shared" ref="C20:J20" si="11">C15*C16*(C14^(C16-1))</f>
        <v>0.99999999999999989</v>
      </c>
      <c r="D20" s="4">
        <f t="shared" si="11"/>
        <v>1</v>
      </c>
      <c r="E20" s="4">
        <f t="shared" si="11"/>
        <v>1</v>
      </c>
      <c r="F20" s="4">
        <f t="shared" si="11"/>
        <v>1</v>
      </c>
      <c r="G20" s="4">
        <f t="shared" si="11"/>
        <v>1</v>
      </c>
      <c r="H20" s="4">
        <f t="shared" si="11"/>
        <v>0.99999999999999989</v>
      </c>
      <c r="I20" s="4">
        <f t="shared" si="11"/>
        <v>0.99999999999999989</v>
      </c>
      <c r="J20" s="4">
        <f t="shared" si="11"/>
        <v>0.99999999999999967</v>
      </c>
      <c r="K20" s="14" t="s">
        <v>57</v>
      </c>
    </row>
    <row r="21" spans="1:11">
      <c r="A21" t="s">
        <v>34</v>
      </c>
      <c r="B21" s="4">
        <f>IF(B5&lt;B14,B15*(B14^B16),B12)</f>
        <v>0.70710678118654768</v>
      </c>
      <c r="C21" s="4">
        <f t="shared" ref="C21:J21" si="12">IF(C5&lt;C14,C15*(C14^C16),C12)</f>
        <v>0.77236354322503442</v>
      </c>
      <c r="D21" s="4">
        <f t="shared" si="12"/>
        <v>0.8430703308172538</v>
      </c>
      <c r="E21" s="4">
        <f t="shared" si="12"/>
        <v>0.91904374441997683</v>
      </c>
      <c r="F21" s="4">
        <f t="shared" si="12"/>
        <v>1.0000000000000004</v>
      </c>
      <c r="G21" s="4">
        <f t="shared" si="12"/>
        <v>1.0855823048033115</v>
      </c>
      <c r="H21" s="4">
        <f t="shared" si="12"/>
        <v>1.1753905296791061</v>
      </c>
      <c r="I21" s="4">
        <f t="shared" si="12"/>
        <v>1.2690084184781294</v>
      </c>
      <c r="J21" s="4">
        <f t="shared" si="12"/>
        <v>1.3660254037844388</v>
      </c>
      <c r="K21" s="14" t="s">
        <v>58</v>
      </c>
    </row>
    <row r="22" spans="1:11">
      <c r="A22" t="s">
        <v>68</v>
      </c>
      <c r="B22" s="4">
        <f>B14-B6</f>
        <v>0.70710678118654768</v>
      </c>
      <c r="C22" s="4">
        <f t="shared" ref="C22:J22" si="13">C14-C6</f>
        <v>0.77236354322503442</v>
      </c>
      <c r="D22" s="4">
        <f t="shared" si="13"/>
        <v>0.8430703308172538</v>
      </c>
      <c r="E22" s="4">
        <f t="shared" si="13"/>
        <v>0.91904374441997683</v>
      </c>
      <c r="F22" s="4">
        <f t="shared" si="13"/>
        <v>1.0000000000000004</v>
      </c>
      <c r="G22" s="4">
        <f t="shared" si="13"/>
        <v>1.0855823048033115</v>
      </c>
      <c r="H22" s="4">
        <f t="shared" si="13"/>
        <v>1.1753905296791061</v>
      </c>
      <c r="I22" s="4">
        <f t="shared" si="13"/>
        <v>1.2690084184781294</v>
      </c>
      <c r="J22" s="4">
        <f t="shared" si="13"/>
        <v>1.3660254037844388</v>
      </c>
      <c r="K22" s="14" t="s">
        <v>59</v>
      </c>
    </row>
    <row r="24" spans="1:11">
      <c r="A24" t="str">
        <f>A11</f>
        <v>ROV</v>
      </c>
      <c r="B24" s="4">
        <f t="shared" ref="B24:J24" si="14">B11</f>
        <v>0.19442768285708267</v>
      </c>
      <c r="C24" s="4">
        <f t="shared" si="14"/>
        <v>0.2077116735186976</v>
      </c>
      <c r="D24" s="4">
        <f t="shared" si="14"/>
        <v>0.22148883734991726</v>
      </c>
      <c r="E24" s="4">
        <f t="shared" si="14"/>
        <v>0.23562979124734945</v>
      </c>
      <c r="F24" s="4">
        <f t="shared" si="14"/>
        <v>0.25000000000000006</v>
      </c>
      <c r="G24" s="4">
        <f t="shared" si="14"/>
        <v>0.26446883388207576</v>
      </c>
      <c r="H24" s="4">
        <f t="shared" si="14"/>
        <v>0.27891679653772417</v>
      </c>
      <c r="I24" s="4">
        <f t="shared" si="14"/>
        <v>0.29324023055242654</v>
      </c>
      <c r="J24" s="4">
        <f t="shared" si="14"/>
        <v>0.30735350239315212</v>
      </c>
    </row>
    <row r="25" spans="1:11">
      <c r="A25" t="str">
        <f>A13</f>
        <v>ROV D</v>
      </c>
      <c r="B25" s="4">
        <f t="shared" ref="B25:J25" si="15">B13</f>
        <v>0.46938994885434387</v>
      </c>
      <c r="C25" s="4">
        <f t="shared" si="15"/>
        <v>0.47664160339522865</v>
      </c>
      <c r="D25" s="4">
        <f t="shared" si="15"/>
        <v>0.48420575342880573</v>
      </c>
      <c r="E25" s="4">
        <f t="shared" si="15"/>
        <v>0.49201561910156022</v>
      </c>
      <c r="F25" s="4">
        <f t="shared" si="15"/>
        <v>0.5</v>
      </c>
      <c r="G25" s="4">
        <f t="shared" si="15"/>
        <v>0.5080881639981768</v>
      </c>
      <c r="H25" s="4">
        <f t="shared" si="15"/>
        <v>0.51621392416888801</v>
      </c>
      <c r="I25" s="4">
        <f t="shared" si="15"/>
        <v>0.52431846950067373</v>
      </c>
      <c r="J25" s="4">
        <f t="shared" si="15"/>
        <v>0.53235188202918193</v>
      </c>
    </row>
    <row r="26" spans="1:11">
      <c r="A26" t="str">
        <f>A19</f>
        <v>ROV G</v>
      </c>
      <c r="B26" s="4">
        <f t="shared" ref="B26:J26" si="16">B19</f>
        <v>0.66381763171142649</v>
      </c>
      <c r="C26" s="4">
        <f t="shared" si="16"/>
        <v>0.61712079444479317</v>
      </c>
      <c r="D26" s="4">
        <f t="shared" si="16"/>
        <v>0.57433613273927842</v>
      </c>
      <c r="E26" s="4">
        <f t="shared" si="16"/>
        <v>0.53535603945825139</v>
      </c>
      <c r="F26" s="4">
        <f t="shared" si="16"/>
        <v>0.49999999999999989</v>
      </c>
      <c r="G26" s="4">
        <f t="shared" si="16"/>
        <v>0.46803283523512618</v>
      </c>
      <c r="H26" s="4">
        <f t="shared" si="16"/>
        <v>0.4391850292598663</v>
      </c>
      <c r="I26" s="4">
        <f t="shared" si="16"/>
        <v>0.41317178189366754</v>
      </c>
      <c r="J26" s="4">
        <f t="shared" si="16"/>
        <v>0.38970862515027427</v>
      </c>
    </row>
    <row r="49" spans="1:1">
      <c r="A49" t="s">
        <v>16</v>
      </c>
    </row>
    <row r="50" spans="1:1">
      <c r="A50" t="s">
        <v>17</v>
      </c>
    </row>
  </sheetData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2"/>
  <sheetViews>
    <sheetView workbookViewId="0">
      <selection activeCell="C22" sqref="C22"/>
    </sheetView>
  </sheetViews>
  <sheetFormatPr defaultRowHeight="12.75"/>
  <cols>
    <col min="2" max="2" width="10.7109375" customWidth="1"/>
    <col min="3" max="3" width="34.42578125" customWidth="1"/>
  </cols>
  <sheetData>
    <row r="1" spans="1:3" ht="15.75">
      <c r="A1" s="15" t="s">
        <v>40</v>
      </c>
    </row>
    <row r="2" spans="1:3">
      <c r="A2" s="42" t="s">
        <v>148</v>
      </c>
    </row>
    <row r="3" spans="1:3">
      <c r="A3" s="11" t="s">
        <v>0</v>
      </c>
      <c r="B3" s="8">
        <v>100</v>
      </c>
    </row>
    <row r="4" spans="1:3">
      <c r="A4" s="11" t="s">
        <v>29</v>
      </c>
      <c r="B4" s="8">
        <v>100</v>
      </c>
    </row>
    <row r="5" spans="1:3">
      <c r="A5" s="10" t="s">
        <v>3</v>
      </c>
      <c r="B5" s="8">
        <v>0.2</v>
      </c>
    </row>
    <row r="6" spans="1:3">
      <c r="A6" s="43" t="s">
        <v>1</v>
      </c>
      <c r="B6" s="8">
        <v>0.04</v>
      </c>
    </row>
    <row r="7" spans="1:3">
      <c r="A7" s="10" t="s">
        <v>187</v>
      </c>
      <c r="B7" s="8">
        <v>0.04</v>
      </c>
    </row>
    <row r="8" spans="1:3">
      <c r="A8" s="43" t="s">
        <v>150</v>
      </c>
      <c r="B8" s="11"/>
    </row>
    <row r="9" spans="1:3">
      <c r="A9" s="11" t="s">
        <v>2</v>
      </c>
      <c r="B9" s="8">
        <f>IF(B3&lt;B12,B13*(B3^B14),B10)</f>
        <v>25.000000000000007</v>
      </c>
      <c r="C9" s="9" t="s">
        <v>42</v>
      </c>
    </row>
    <row r="10" spans="1:3">
      <c r="A10" s="11" t="s">
        <v>30</v>
      </c>
      <c r="B10" s="8">
        <f>B3-B4</f>
        <v>0</v>
      </c>
      <c r="C10" s="9" t="s">
        <v>39</v>
      </c>
    </row>
    <row r="11" spans="1:3">
      <c r="A11" s="11" t="s">
        <v>32</v>
      </c>
      <c r="B11" s="8">
        <f>IF(B3&lt;B12,B13*B14*(B3^(B14-1)),1)</f>
        <v>0.50000000000000033</v>
      </c>
      <c r="C11" s="9" t="s">
        <v>43</v>
      </c>
    </row>
    <row r="12" spans="1:3">
      <c r="A12" s="11" t="s">
        <v>145</v>
      </c>
      <c r="B12" s="8">
        <f>(B14/(B14-1))*B4</f>
        <v>200.00000000000006</v>
      </c>
      <c r="C12" s="9" t="s">
        <v>44</v>
      </c>
    </row>
    <row r="13" spans="1:3">
      <c r="A13" s="11" t="s">
        <v>151</v>
      </c>
      <c r="B13" s="5">
        <f>(B12-B4)/(B12^B14)</f>
        <v>2.5000000000000031E-3</v>
      </c>
      <c r="C13" s="9" t="s">
        <v>45</v>
      </c>
    </row>
    <row r="14" spans="1:3" ht="14.25">
      <c r="A14" s="10" t="s">
        <v>129</v>
      </c>
      <c r="B14" s="8">
        <f>0.5-(B6-B7)/(B5^2)+SQRT(((B6-B7)/(B5^2)-0.5)^2 + 2*B6/(B5^2))</f>
        <v>1.9999999999999998</v>
      </c>
      <c r="C14" s="6"/>
    </row>
    <row r="15" spans="1:3" ht="14.25">
      <c r="A15" s="10" t="s">
        <v>129</v>
      </c>
      <c r="B15" s="9" t="s">
        <v>41</v>
      </c>
      <c r="C15" s="6"/>
    </row>
    <row r="16" spans="1:3">
      <c r="A16" t="s">
        <v>184</v>
      </c>
      <c r="B16" s="4">
        <f>0.5*(B5^2)*(B3^2)*B17+(B6-B7)*B3*B11-B6*B9</f>
        <v>0</v>
      </c>
      <c r="C16" s="14" t="s">
        <v>63</v>
      </c>
    </row>
    <row r="17" spans="1:3">
      <c r="A17" t="s">
        <v>31</v>
      </c>
      <c r="B17" s="4">
        <f>IF(B3&lt;B12,B13*B14*(B14-1)*(B3^(B14-2)),0)</f>
        <v>4.9999999999999992E-3</v>
      </c>
      <c r="C17" s="14" t="s">
        <v>64</v>
      </c>
    </row>
    <row r="18" spans="1:3">
      <c r="A18" t="s">
        <v>33</v>
      </c>
      <c r="B18" s="4">
        <f>B13*B14*(B12^(B14-1))</f>
        <v>1.0000000000000007</v>
      </c>
      <c r="C18" s="14" t="s">
        <v>65</v>
      </c>
    </row>
    <row r="19" spans="1:3">
      <c r="A19" t="s">
        <v>34</v>
      </c>
      <c r="B19" s="4">
        <f>IF(B3&lt;B12,B13*(B12^B14),B10)</f>
        <v>100.00000000000006</v>
      </c>
      <c r="C19" s="14" t="s">
        <v>66</v>
      </c>
    </row>
    <row r="20" spans="1:3">
      <c r="A20" t="s">
        <v>68</v>
      </c>
      <c r="B20" s="4">
        <f>B12-B4</f>
        <v>100.00000000000006</v>
      </c>
      <c r="C20" s="14" t="s">
        <v>67</v>
      </c>
    </row>
    <row r="21" spans="1:3">
      <c r="A21" s="17" t="s">
        <v>151</v>
      </c>
      <c r="B21" s="47">
        <f>((B14-1)^(B14-1))/((B14^B14)*(B4^(B14-1)))</f>
        <v>2.5000000000000018E-3</v>
      </c>
      <c r="C21" s="114" t="s">
        <v>379</v>
      </c>
    </row>
    <row r="22" spans="1:3">
      <c r="A22" s="17" t="s">
        <v>70</v>
      </c>
      <c r="B22" s="51">
        <f>IF(B3&lt;B12,(B12-B4)*((B3/B12)^B14),B10)</f>
        <v>25.000000000000004</v>
      </c>
      <c r="C22" s="9" t="s">
        <v>409</v>
      </c>
    </row>
  </sheetData>
  <phoneticPr fontId="8" type="noConversion"/>
  <printOptions horizontalCentered="1" headings="1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50"/>
  <sheetViews>
    <sheetView workbookViewId="0">
      <selection activeCell="M1" sqref="M1"/>
    </sheetView>
  </sheetViews>
  <sheetFormatPr defaultRowHeight="12.75"/>
  <cols>
    <col min="1" max="1" width="10.42578125" bestFit="1" customWidth="1"/>
    <col min="2" max="11" width="6.5703125" customWidth="1"/>
  </cols>
  <sheetData>
    <row r="1" spans="1:11" ht="15">
      <c r="A1" s="19" t="s">
        <v>253</v>
      </c>
      <c r="B1" s="19"/>
      <c r="C1" s="19"/>
      <c r="D1" s="19"/>
      <c r="E1" s="19"/>
      <c r="F1" s="19"/>
      <c r="G1" s="19"/>
      <c r="H1" s="19"/>
      <c r="I1" s="19"/>
    </row>
    <row r="2" spans="1:11" ht="15">
      <c r="A2" s="19" t="s">
        <v>148</v>
      </c>
      <c r="B2" s="19"/>
      <c r="C2" s="19"/>
      <c r="D2" s="19"/>
      <c r="E2" s="19"/>
      <c r="F2" s="19"/>
      <c r="G2" s="19"/>
      <c r="H2" s="19"/>
      <c r="I2" s="19"/>
    </row>
    <row r="3" spans="1:11">
      <c r="A3" s="79" t="s">
        <v>0</v>
      </c>
      <c r="B3" s="79">
        <v>18</v>
      </c>
      <c r="C3" s="79">
        <f>B3+0.5</f>
        <v>18.5</v>
      </c>
      <c r="D3" s="79">
        <f t="shared" ref="D3:I3" si="0">C3+0.5</f>
        <v>19</v>
      </c>
      <c r="E3" s="79">
        <f t="shared" si="0"/>
        <v>19.5</v>
      </c>
      <c r="F3" s="79">
        <f t="shared" si="0"/>
        <v>20</v>
      </c>
      <c r="G3" s="79">
        <f t="shared" si="0"/>
        <v>20.5</v>
      </c>
      <c r="H3" s="79">
        <f t="shared" si="0"/>
        <v>21</v>
      </c>
      <c r="I3" s="79">
        <f t="shared" si="0"/>
        <v>21.5</v>
      </c>
      <c r="J3" s="79">
        <f>I3+0.5</f>
        <v>22</v>
      </c>
      <c r="K3" s="79">
        <f>J3+0.5</f>
        <v>22.5</v>
      </c>
    </row>
    <row r="4" spans="1:11">
      <c r="A4" t="s">
        <v>1</v>
      </c>
      <c r="B4" s="4">
        <f>B49</f>
        <v>0.1</v>
      </c>
      <c r="C4" s="4">
        <f>B4</f>
        <v>0.1</v>
      </c>
      <c r="D4" s="4">
        <f t="shared" ref="D4:K5" si="1">C4</f>
        <v>0.1</v>
      </c>
      <c r="E4" s="4">
        <f t="shared" si="1"/>
        <v>0.1</v>
      </c>
      <c r="F4" s="4">
        <f t="shared" si="1"/>
        <v>0.1</v>
      </c>
      <c r="G4" s="4">
        <f t="shared" si="1"/>
        <v>0.1</v>
      </c>
      <c r="H4" s="4">
        <f t="shared" si="1"/>
        <v>0.1</v>
      </c>
      <c r="I4" s="4">
        <f t="shared" si="1"/>
        <v>0.1</v>
      </c>
      <c r="J4" s="4">
        <f t="shared" si="1"/>
        <v>0.1</v>
      </c>
      <c r="K4" s="4">
        <f t="shared" si="1"/>
        <v>0.1</v>
      </c>
    </row>
    <row r="5" spans="1:11">
      <c r="A5" s="2" t="s">
        <v>3</v>
      </c>
      <c r="B5" s="4">
        <f>B50</f>
        <v>0.2</v>
      </c>
      <c r="C5" s="4">
        <f>B5</f>
        <v>0.2</v>
      </c>
      <c r="D5" s="4">
        <f t="shared" si="1"/>
        <v>0.2</v>
      </c>
      <c r="E5" s="4">
        <f t="shared" si="1"/>
        <v>0.2</v>
      </c>
      <c r="F5" s="4">
        <f t="shared" si="1"/>
        <v>0.2</v>
      </c>
      <c r="G5" s="4">
        <f t="shared" si="1"/>
        <v>0.2</v>
      </c>
      <c r="H5" s="4">
        <f t="shared" si="1"/>
        <v>0.2</v>
      </c>
      <c r="I5" s="4">
        <f t="shared" si="1"/>
        <v>0.2</v>
      </c>
      <c r="J5" s="4">
        <f t="shared" si="1"/>
        <v>0.2</v>
      </c>
      <c r="K5" s="4">
        <f t="shared" si="1"/>
        <v>0.2</v>
      </c>
    </row>
    <row r="6" spans="1:11" ht="14.25">
      <c r="A6" s="2" t="s">
        <v>134</v>
      </c>
      <c r="B6">
        <f t="shared" ref="B6:I6" si="2">B5^2</f>
        <v>4.0000000000000008E-2</v>
      </c>
      <c r="C6">
        <f t="shared" si="2"/>
        <v>4.0000000000000008E-2</v>
      </c>
      <c r="D6">
        <f t="shared" si="2"/>
        <v>4.0000000000000008E-2</v>
      </c>
      <c r="E6">
        <f t="shared" si="2"/>
        <v>4.0000000000000008E-2</v>
      </c>
      <c r="F6">
        <f t="shared" si="2"/>
        <v>4.0000000000000008E-2</v>
      </c>
      <c r="G6">
        <f t="shared" si="2"/>
        <v>4.0000000000000008E-2</v>
      </c>
      <c r="H6">
        <f t="shared" si="2"/>
        <v>4.0000000000000008E-2</v>
      </c>
      <c r="I6">
        <f t="shared" si="2"/>
        <v>4.0000000000000008E-2</v>
      </c>
      <c r="J6">
        <f>J5^2</f>
        <v>4.0000000000000008E-2</v>
      </c>
      <c r="K6">
        <f>K5^2</f>
        <v>4.0000000000000008E-2</v>
      </c>
    </row>
    <row r="7" spans="1:11">
      <c r="A7" t="s">
        <v>254</v>
      </c>
      <c r="B7">
        <f>B47</f>
        <v>3.5</v>
      </c>
      <c r="C7">
        <f>B7</f>
        <v>3.5</v>
      </c>
      <c r="D7">
        <f t="shared" ref="D7:K8" si="3">C7</f>
        <v>3.5</v>
      </c>
      <c r="E7">
        <f t="shared" si="3"/>
        <v>3.5</v>
      </c>
      <c r="F7">
        <f t="shared" si="3"/>
        <v>3.5</v>
      </c>
      <c r="G7">
        <f t="shared" si="3"/>
        <v>3.5</v>
      </c>
      <c r="H7">
        <f t="shared" si="3"/>
        <v>3.5</v>
      </c>
      <c r="I7">
        <f t="shared" si="3"/>
        <v>3.5</v>
      </c>
      <c r="J7">
        <f t="shared" si="3"/>
        <v>3.5</v>
      </c>
      <c r="K7">
        <f t="shared" si="3"/>
        <v>3.5</v>
      </c>
    </row>
    <row r="8" spans="1:11">
      <c r="A8" t="s">
        <v>73</v>
      </c>
      <c r="B8">
        <f>B48</f>
        <v>20</v>
      </c>
      <c r="C8">
        <f>B8</f>
        <v>20</v>
      </c>
      <c r="D8">
        <f t="shared" si="3"/>
        <v>20</v>
      </c>
      <c r="E8">
        <f t="shared" si="3"/>
        <v>20</v>
      </c>
      <c r="F8">
        <f t="shared" si="3"/>
        <v>20</v>
      </c>
      <c r="G8">
        <f t="shared" si="3"/>
        <v>20</v>
      </c>
      <c r="H8">
        <f t="shared" si="3"/>
        <v>20</v>
      </c>
      <c r="I8">
        <f t="shared" si="3"/>
        <v>20</v>
      </c>
      <c r="J8">
        <f t="shared" si="3"/>
        <v>20</v>
      </c>
      <c r="K8">
        <f t="shared" si="3"/>
        <v>20</v>
      </c>
    </row>
    <row r="9" spans="1:11">
      <c r="A9" s="12" t="s">
        <v>150</v>
      </c>
    </row>
    <row r="10" spans="1:11" ht="15.75">
      <c r="A10" s="17" t="s">
        <v>266</v>
      </c>
      <c r="B10" s="53">
        <f>-2*B4/B6</f>
        <v>-4.9999999999999991</v>
      </c>
      <c r="C10" s="4">
        <f t="shared" ref="C10:I10" si="4">-2*C4/C6</f>
        <v>-4.9999999999999991</v>
      </c>
      <c r="D10" s="4">
        <f t="shared" si="4"/>
        <v>-4.9999999999999991</v>
      </c>
      <c r="E10" s="4">
        <f t="shared" si="4"/>
        <v>-4.9999999999999991</v>
      </c>
      <c r="F10" s="4">
        <f t="shared" si="4"/>
        <v>-4.9999999999999991</v>
      </c>
      <c r="G10" s="4">
        <f t="shared" si="4"/>
        <v>-4.9999999999999991</v>
      </c>
      <c r="H10" s="4">
        <f t="shared" si="4"/>
        <v>-4.9999999999999991</v>
      </c>
      <c r="I10" s="4">
        <f t="shared" si="4"/>
        <v>-4.9999999999999991</v>
      </c>
      <c r="J10" s="4">
        <f>-2*J4/J6</f>
        <v>-4.9999999999999991</v>
      </c>
      <c r="K10" s="4">
        <f>-2*K4/K6</f>
        <v>-4.9999999999999991</v>
      </c>
    </row>
    <row r="11" spans="1:11">
      <c r="A11" t="s">
        <v>143</v>
      </c>
      <c r="B11" s="4">
        <f>(1-(1-B4*B8/B7)^((B10-1)/B10))^-1</f>
        <v>1.5668236777541955</v>
      </c>
      <c r="C11" s="4">
        <f t="shared" ref="C11:I11" si="5">(1-(1-C4*C8/C7)^((C10-1)/C10))^-1</f>
        <v>1.5668236777541955</v>
      </c>
      <c r="D11" s="4">
        <f t="shared" si="5"/>
        <v>1.5668236777541955</v>
      </c>
      <c r="E11" s="4">
        <f t="shared" si="5"/>
        <v>1.5668236777541955</v>
      </c>
      <c r="F11" s="4">
        <f t="shared" si="5"/>
        <v>1.5668236777541955</v>
      </c>
      <c r="G11" s="4">
        <f t="shared" si="5"/>
        <v>1.5668236777541955</v>
      </c>
      <c r="H11" s="4">
        <f t="shared" si="5"/>
        <v>1.5668236777541955</v>
      </c>
      <c r="I11" s="4">
        <f t="shared" si="5"/>
        <v>1.5668236777541955</v>
      </c>
      <c r="J11" s="4">
        <f>(1-(1-J4*J8/J7)^((J10-1)/J10))^-1</f>
        <v>1.5668236777541955</v>
      </c>
      <c r="K11" s="4">
        <f>(1-(1-K4*K8/K7)^((K10-1)/K10))^-1</f>
        <v>1.5668236777541955</v>
      </c>
    </row>
    <row r="12" spans="1:11">
      <c r="A12" t="s">
        <v>142</v>
      </c>
      <c r="B12" s="82">
        <f>-B11/(B10*B14^(B10-1))</f>
        <v>13039176.249176465</v>
      </c>
      <c r="C12" s="83">
        <f t="shared" ref="C12:I12" si="6">-C11/(C10*C14^(C10-1))</f>
        <v>13039176.249176465</v>
      </c>
      <c r="D12" s="83">
        <f t="shared" si="6"/>
        <v>13039176.249176465</v>
      </c>
      <c r="E12" s="83">
        <f t="shared" si="6"/>
        <v>13039176.249176465</v>
      </c>
      <c r="F12" s="83">
        <f t="shared" si="6"/>
        <v>13039176.249176465</v>
      </c>
      <c r="G12" s="83">
        <f t="shared" si="6"/>
        <v>13039176.249176465</v>
      </c>
      <c r="H12" s="83">
        <f t="shared" si="6"/>
        <v>13039176.249176465</v>
      </c>
      <c r="I12" s="83">
        <f t="shared" si="6"/>
        <v>13039176.249176465</v>
      </c>
      <c r="J12" s="83">
        <f>-J11/(J10*J14^(J10-1))</f>
        <v>13039176.249176465</v>
      </c>
      <c r="K12" s="83">
        <f>-K11/(K10*K14^(K10-1))</f>
        <v>13039176.249176465</v>
      </c>
    </row>
    <row r="13" spans="1:11">
      <c r="A13" s="17" t="s">
        <v>145</v>
      </c>
      <c r="B13" s="4">
        <f>(B10/(B10-1))*(B8-B7/B4)*(1/(1-B11))</f>
        <v>22.052713199148773</v>
      </c>
      <c r="C13" s="4">
        <f t="shared" ref="C13:I13" si="7">(C10/(C10-1))*(C8-C7/C4)*(1/(1-C11))</f>
        <v>22.052713199148773</v>
      </c>
      <c r="D13" s="4">
        <f t="shared" si="7"/>
        <v>22.052713199148773</v>
      </c>
      <c r="E13" s="4">
        <f t="shared" si="7"/>
        <v>22.052713199148773</v>
      </c>
      <c r="F13" s="4">
        <f t="shared" si="7"/>
        <v>22.052713199148773</v>
      </c>
      <c r="G13" s="4">
        <f t="shared" si="7"/>
        <v>22.052713199148773</v>
      </c>
      <c r="H13" s="4">
        <f t="shared" si="7"/>
        <v>22.052713199148773</v>
      </c>
      <c r="I13" s="4">
        <f t="shared" si="7"/>
        <v>22.052713199148773</v>
      </c>
      <c r="J13" s="4">
        <f>(J10/(J10-1))*(J8-J7/J4)*(1/(1-J11))</f>
        <v>22.052713199148773</v>
      </c>
      <c r="K13" s="4">
        <f>(K10/(K10-1))*(K8-K7/K4)*(1/(1-K11))</f>
        <v>22.052713199148773</v>
      </c>
    </row>
    <row r="14" spans="1:11">
      <c r="A14" t="s">
        <v>74</v>
      </c>
      <c r="B14" s="4">
        <f>(B10/(B10-1))*(B7/B4)*(1/B11)</f>
        <v>18.615155668615287</v>
      </c>
      <c r="C14" s="4">
        <f t="shared" ref="C14:I14" si="8">(C10/(C10-1))*(C7/C4)*(1/C11)</f>
        <v>18.615155668615287</v>
      </c>
      <c r="D14" s="4">
        <f t="shared" si="8"/>
        <v>18.615155668615287</v>
      </c>
      <c r="E14" s="4">
        <f t="shared" si="8"/>
        <v>18.615155668615287</v>
      </c>
      <c r="F14" s="4">
        <f t="shared" si="8"/>
        <v>18.615155668615287</v>
      </c>
      <c r="G14" s="4">
        <f t="shared" si="8"/>
        <v>18.615155668615287</v>
      </c>
      <c r="H14" s="4">
        <f t="shared" si="8"/>
        <v>18.615155668615287</v>
      </c>
      <c r="I14" s="4">
        <f t="shared" si="8"/>
        <v>18.615155668615287</v>
      </c>
      <c r="J14" s="4">
        <f>(J10/(J10-1))*(J7/J4)*(1/J11)</f>
        <v>18.615155668615287</v>
      </c>
      <c r="K14" s="4">
        <f>(K10/(K10-1))*(K7/K4)*(1/K11)</f>
        <v>18.615155668615287</v>
      </c>
    </row>
    <row r="15" spans="1:11">
      <c r="A15" s="17" t="s">
        <v>262</v>
      </c>
      <c r="B15" s="58">
        <f t="shared" ref="B15:K15" si="9">IF(B3&lt;B14,0,(IF(B3&gt;B13,B16,B17)))</f>
        <v>0</v>
      </c>
      <c r="C15" s="3">
        <f t="shared" si="9"/>
        <v>0</v>
      </c>
      <c r="D15" s="3">
        <f t="shared" si="9"/>
        <v>3.5665593654670147E-2</v>
      </c>
      <c r="E15" s="3">
        <f t="shared" si="9"/>
        <v>0.17769285284509095</v>
      </c>
      <c r="F15" s="3">
        <f t="shared" si="9"/>
        <v>0.41121613295156578</v>
      </c>
      <c r="G15" s="3">
        <f t="shared" si="9"/>
        <v>0.72136409231438847</v>
      </c>
      <c r="H15" s="3">
        <f t="shared" si="9"/>
        <v>1.0959646642205527</v>
      </c>
      <c r="I15" s="3">
        <f t="shared" si="9"/>
        <v>1.5250061889334887</v>
      </c>
      <c r="J15" s="3">
        <f t="shared" si="9"/>
        <v>2.0002154631673577</v>
      </c>
      <c r="K15" s="3">
        <f t="shared" si="9"/>
        <v>2.5</v>
      </c>
    </row>
    <row r="16" spans="1:11">
      <c r="A16" s="17" t="s">
        <v>263</v>
      </c>
      <c r="B16" s="3">
        <f>MAX(B3-B8,0)</f>
        <v>0</v>
      </c>
      <c r="C16" s="3">
        <f t="shared" ref="C16:I16" si="10">MAX(C3-C8,0)</f>
        <v>0</v>
      </c>
      <c r="D16" s="3">
        <f t="shared" si="10"/>
        <v>0</v>
      </c>
      <c r="E16" s="3">
        <f t="shared" si="10"/>
        <v>0</v>
      </c>
      <c r="F16" s="3">
        <f t="shared" si="10"/>
        <v>0</v>
      </c>
      <c r="G16" s="3">
        <f t="shared" si="10"/>
        <v>0.5</v>
      </c>
      <c r="H16" s="3">
        <f t="shared" si="10"/>
        <v>1</v>
      </c>
      <c r="I16" s="3">
        <f t="shared" si="10"/>
        <v>1.5</v>
      </c>
      <c r="J16" s="3">
        <f>MAX(J3-J8,0)</f>
        <v>2</v>
      </c>
      <c r="K16" s="3">
        <f>MAX(K3-K8,0)</f>
        <v>2.5</v>
      </c>
    </row>
    <row r="17" spans="1:11">
      <c r="A17" s="17" t="s">
        <v>70</v>
      </c>
      <c r="B17" s="58" t="s">
        <v>140</v>
      </c>
      <c r="C17" s="58" t="s">
        <v>140</v>
      </c>
      <c r="D17" s="3">
        <f t="shared" ref="D17:I17" si="11">D11*D3+D12*D3^D10-D7/D4</f>
        <v>3.5665593654670147E-2</v>
      </c>
      <c r="E17" s="3">
        <f t="shared" si="11"/>
        <v>0.17769285284509095</v>
      </c>
      <c r="F17" s="3">
        <f t="shared" si="11"/>
        <v>0.41121613295156578</v>
      </c>
      <c r="G17" s="3">
        <f t="shared" si="11"/>
        <v>0.72136409231438847</v>
      </c>
      <c r="H17" s="3">
        <f t="shared" si="11"/>
        <v>1.0959646642205527</v>
      </c>
      <c r="I17" s="3">
        <f t="shared" si="11"/>
        <v>1.5250061889334887</v>
      </c>
      <c r="J17" s="3">
        <f>J11*J3+J12*J3^J10-J7/J4</f>
        <v>2.0002154631673577</v>
      </c>
      <c r="K17" s="58" t="s">
        <v>140</v>
      </c>
    </row>
    <row r="18" spans="1:11" ht="15.75">
      <c r="A18" s="17" t="s">
        <v>266</v>
      </c>
      <c r="B18" s="30" t="s">
        <v>255</v>
      </c>
    </row>
    <row r="19" spans="1:11">
      <c r="A19" t="s">
        <v>143</v>
      </c>
      <c r="B19" s="4" t="s">
        <v>256</v>
      </c>
    </row>
    <row r="20" spans="1:11">
      <c r="A20" t="s">
        <v>142</v>
      </c>
      <c r="B20" s="80" t="s">
        <v>257</v>
      </c>
    </row>
    <row r="21" spans="1:11">
      <c r="A21" s="17" t="s">
        <v>145</v>
      </c>
      <c r="B21" s="4" t="s">
        <v>258</v>
      </c>
    </row>
    <row r="22" spans="1:11">
      <c r="A22" t="s">
        <v>74</v>
      </c>
      <c r="B22" s="4" t="s">
        <v>259</v>
      </c>
    </row>
    <row r="23" spans="1:11">
      <c r="A23" s="17" t="s">
        <v>70</v>
      </c>
      <c r="B23" s="1" t="s">
        <v>260</v>
      </c>
    </row>
    <row r="24" spans="1:11">
      <c r="A24" t="str">
        <f>A15</f>
        <v>C(V)</v>
      </c>
      <c r="B24" s="47" t="s">
        <v>261</v>
      </c>
    </row>
    <row r="47" spans="1:2">
      <c r="A47" t="s">
        <v>254</v>
      </c>
      <c r="B47">
        <v>3.5</v>
      </c>
    </row>
    <row r="48" spans="1:2">
      <c r="A48" t="s">
        <v>73</v>
      </c>
      <c r="B48">
        <v>20</v>
      </c>
    </row>
    <row r="49" spans="1:2">
      <c r="A49" t="s">
        <v>1</v>
      </c>
      <c r="B49">
        <v>0.1</v>
      </c>
    </row>
    <row r="50" spans="1:2">
      <c r="A50" s="2" t="s">
        <v>3</v>
      </c>
      <c r="B50">
        <v>0.2</v>
      </c>
    </row>
  </sheetData>
  <printOptions headings="1"/>
  <pageMargins left="0.7" right="0.7" top="0.75" bottom="0.75" header="0.3" footer="0.3"/>
  <pageSetup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9B1DF-2991-446D-8E09-2CB6BF24AA0F}">
  <dimension ref="A1:E26"/>
  <sheetViews>
    <sheetView topLeftCell="A4" workbookViewId="0">
      <selection activeCell="F29" sqref="F29"/>
    </sheetView>
  </sheetViews>
  <sheetFormatPr defaultRowHeight="12.75"/>
  <cols>
    <col min="1" max="1" width="10.28515625" bestFit="1" customWidth="1"/>
    <col min="2" max="2" width="10.85546875" bestFit="1" customWidth="1"/>
    <col min="3" max="3" width="10.28515625" bestFit="1" customWidth="1"/>
  </cols>
  <sheetData>
    <row r="1" spans="1:5">
      <c r="B1" s="48" t="s">
        <v>219</v>
      </c>
    </row>
    <row r="2" spans="1:5">
      <c r="A2" s="44" t="s">
        <v>220</v>
      </c>
      <c r="B2" s="44"/>
      <c r="C2" s="44"/>
    </row>
    <row r="3" spans="1:5" ht="18.75">
      <c r="A3" s="71" t="s">
        <v>221</v>
      </c>
      <c r="B3" s="71"/>
      <c r="C3" s="71"/>
    </row>
    <row r="4" spans="1:5" ht="15">
      <c r="B4" s="72" t="s">
        <v>222</v>
      </c>
      <c r="C4" s="72" t="s">
        <v>223</v>
      </c>
    </row>
    <row r="5" spans="1:5">
      <c r="A5" t="s">
        <v>136</v>
      </c>
      <c r="B5" s="4">
        <f>B10</f>
        <v>40</v>
      </c>
      <c r="C5" s="50">
        <f>C10+(C16*C11/C17)*(1-(C19/C10)^-C20)-C15*C19*(C19/C10)^-C20</f>
        <v>42.10174560546875</v>
      </c>
      <c r="E5">
        <v>10.7</v>
      </c>
    </row>
    <row r="6" spans="1:5">
      <c r="A6" t="s">
        <v>224</v>
      </c>
      <c r="B6" s="4">
        <f>B11/C17</f>
        <v>66.666666666666671</v>
      </c>
      <c r="C6" s="50">
        <f>(C11/C17)+((1-C15)*C19-(C11/C17))*(C19/C10)^-C20</f>
        <v>39.62432861328125</v>
      </c>
      <c r="E6">
        <v>10.6</v>
      </c>
    </row>
    <row r="7" spans="1:5">
      <c r="A7" t="s">
        <v>225</v>
      </c>
      <c r="B7" s="4">
        <f>B5-B6</f>
        <v>-26.666666666666671</v>
      </c>
      <c r="C7" s="50">
        <f>C10-(1-C16)*(C11/C17)+((1-C16)*(C11/C17)-C19)*((C19/C10)^-C20)</f>
        <v>2.4774169921875</v>
      </c>
      <c r="E7">
        <v>10.8</v>
      </c>
    </row>
    <row r="8" spans="1:5">
      <c r="B8" s="4"/>
    </row>
    <row r="9" spans="1:5">
      <c r="A9" t="s">
        <v>148</v>
      </c>
      <c r="B9" s="4" t="s">
        <v>226</v>
      </c>
    </row>
    <row r="10" spans="1:5">
      <c r="A10" t="s">
        <v>227</v>
      </c>
      <c r="B10" s="4">
        <v>40</v>
      </c>
      <c r="C10" s="4">
        <f>B10</f>
        <v>40</v>
      </c>
    </row>
    <row r="11" spans="1:5">
      <c r="A11" t="s">
        <v>228</v>
      </c>
      <c r="B11" s="4">
        <v>4</v>
      </c>
      <c r="C11" s="4">
        <f>B11</f>
        <v>4</v>
      </c>
    </row>
    <row r="12" spans="1:5">
      <c r="A12" t="s">
        <v>229</v>
      </c>
      <c r="B12" s="4">
        <f>B11/C17</f>
        <v>66.666666666666671</v>
      </c>
      <c r="C12" s="4">
        <f>B12</f>
        <v>66.666666666666671</v>
      </c>
    </row>
    <row r="13" spans="1:5">
      <c r="A13" s="2" t="s">
        <v>187</v>
      </c>
      <c r="C13" s="4">
        <v>0</v>
      </c>
    </row>
    <row r="14" spans="1:5" ht="15">
      <c r="A14" s="73" t="s">
        <v>3</v>
      </c>
      <c r="C14" s="4">
        <v>0.2</v>
      </c>
    </row>
    <row r="15" spans="1:5">
      <c r="A15" s="2" t="s">
        <v>141</v>
      </c>
      <c r="C15" s="4">
        <v>0.5</v>
      </c>
    </row>
    <row r="16" spans="1:5">
      <c r="A16" s="2" t="s">
        <v>137</v>
      </c>
      <c r="C16" s="4">
        <v>0.35</v>
      </c>
    </row>
    <row r="17" spans="1:5">
      <c r="A17" s="42" t="s">
        <v>211</v>
      </c>
      <c r="C17" s="4">
        <v>0.06</v>
      </c>
    </row>
    <row r="18" spans="1:5">
      <c r="A18" s="42" t="s">
        <v>150</v>
      </c>
    </row>
    <row r="19" spans="1:5" ht="14.25">
      <c r="A19" s="42" t="s">
        <v>212</v>
      </c>
      <c r="C19" s="4">
        <f>(1-C16)*(C11/C17)*(-C20/(-C20+1))</f>
        <v>32.5</v>
      </c>
      <c r="E19">
        <v>10.9</v>
      </c>
    </row>
    <row r="20" spans="1:5" ht="14.25">
      <c r="A20" s="2" t="s">
        <v>130</v>
      </c>
      <c r="C20" s="53">
        <f>(0.5-(C17-C13)/(C14^2)-SQRT((0.5-(C17-C13)/(C14^2))^2+2*C17/(C14^2)))</f>
        <v>-2.9999999999999991</v>
      </c>
      <c r="E20">
        <v>10.5</v>
      </c>
    </row>
    <row r="22" spans="1:5">
      <c r="A22" s="42" t="s">
        <v>145</v>
      </c>
      <c r="B22" s="14" t="s">
        <v>277</v>
      </c>
    </row>
    <row r="23" spans="1:5">
      <c r="A23" s="42" t="s">
        <v>230</v>
      </c>
      <c r="B23" s="14" t="s">
        <v>278</v>
      </c>
    </row>
    <row r="24" spans="1:5">
      <c r="A24" s="42" t="s">
        <v>231</v>
      </c>
      <c r="B24" s="14" t="s">
        <v>279</v>
      </c>
    </row>
    <row r="25" spans="1:5" ht="14.25">
      <c r="A25" s="42" t="s">
        <v>212</v>
      </c>
      <c r="B25" s="75" t="s">
        <v>276</v>
      </c>
    </row>
    <row r="26" spans="1:5" ht="14.25">
      <c r="A26" s="2" t="s">
        <v>130</v>
      </c>
      <c r="B26" s="88" t="s">
        <v>275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20"/>
  <sheetViews>
    <sheetView workbookViewId="0">
      <selection activeCell="D1" sqref="A1:D20"/>
    </sheetView>
  </sheetViews>
  <sheetFormatPr defaultRowHeight="12.75"/>
  <cols>
    <col min="2" max="2" width="22" bestFit="1" customWidth="1"/>
    <col min="3" max="3" width="49.5703125" customWidth="1"/>
    <col min="4" max="4" width="5" customWidth="1"/>
  </cols>
  <sheetData>
    <row r="1" spans="1:4">
      <c r="A1" t="s">
        <v>140</v>
      </c>
      <c r="B1" t="s">
        <v>209</v>
      </c>
    </row>
    <row r="2" spans="1:4">
      <c r="A2" s="48" t="s">
        <v>140</v>
      </c>
      <c r="B2" s="48" t="s">
        <v>140</v>
      </c>
    </row>
    <row r="3" spans="1:4">
      <c r="A3" t="s">
        <v>148</v>
      </c>
      <c r="B3" t="s">
        <v>140</v>
      </c>
    </row>
    <row r="4" spans="1:4">
      <c r="A4" t="s">
        <v>0</v>
      </c>
      <c r="B4">
        <v>40</v>
      </c>
    </row>
    <row r="5" spans="1:4">
      <c r="A5" t="s">
        <v>131</v>
      </c>
      <c r="B5">
        <v>4</v>
      </c>
    </row>
    <row r="6" spans="1:4">
      <c r="A6" t="s">
        <v>132</v>
      </c>
      <c r="B6" s="4">
        <f>B5/B12</f>
        <v>66.666666666666671</v>
      </c>
    </row>
    <row r="7" spans="1:4">
      <c r="A7" s="2" t="s">
        <v>187</v>
      </c>
      <c r="B7" s="4">
        <v>0</v>
      </c>
    </row>
    <row r="8" spans="1:4">
      <c r="A8" s="2" t="s">
        <v>210</v>
      </c>
      <c r="B8" s="4">
        <f>B12-B7</f>
        <v>0.06</v>
      </c>
    </row>
    <row r="9" spans="1:4">
      <c r="A9" s="2" t="s">
        <v>3</v>
      </c>
      <c r="B9" s="4">
        <v>0.2</v>
      </c>
    </row>
    <row r="10" spans="1:4">
      <c r="A10" s="2" t="s">
        <v>141</v>
      </c>
      <c r="B10" s="4">
        <v>0.5</v>
      </c>
    </row>
    <row r="11" spans="1:4">
      <c r="A11" s="2" t="s">
        <v>137</v>
      </c>
      <c r="B11" s="4">
        <v>0.35</v>
      </c>
    </row>
    <row r="12" spans="1:4">
      <c r="A12" s="42" t="s">
        <v>211</v>
      </c>
      <c r="B12" s="4">
        <v>0.06</v>
      </c>
    </row>
    <row r="13" spans="1:4">
      <c r="A13" s="42" t="s">
        <v>150</v>
      </c>
    </row>
    <row r="14" spans="1:4" ht="14.25">
      <c r="A14" s="42" t="s">
        <v>212</v>
      </c>
      <c r="B14" s="4">
        <f>(1-B11)*(B5/B12)*(-B16/(-B16+1))</f>
        <v>32.5</v>
      </c>
      <c r="C14" s="4" t="s">
        <v>268</v>
      </c>
      <c r="D14" s="89">
        <v>10.9</v>
      </c>
    </row>
    <row r="15" spans="1:4">
      <c r="A15" s="42" t="s">
        <v>213</v>
      </c>
      <c r="B15" s="4">
        <f>(B5/B12)+((1-B10)*B14-(B5/B12))*(B14/B4)^-B16</f>
        <v>39.62432861328125</v>
      </c>
      <c r="C15" s="4" t="s">
        <v>269</v>
      </c>
      <c r="D15" s="89">
        <v>10.6</v>
      </c>
    </row>
    <row r="16" spans="1:4" ht="14.25">
      <c r="A16" s="2" t="s">
        <v>130</v>
      </c>
      <c r="B16" s="53">
        <f>(0.5-(B12-B7)/(B9^2)-SQRT((0.5-(B12-B7)/(B9^2))^2+2*B12/(B9^2)))</f>
        <v>-2.9999999999999991</v>
      </c>
      <c r="C16" s="88" t="s">
        <v>272</v>
      </c>
      <c r="D16" s="89">
        <v>10.5</v>
      </c>
    </row>
    <row r="17" spans="1:4">
      <c r="D17" s="89"/>
    </row>
    <row r="18" spans="1:4" ht="14.25">
      <c r="A18" s="42" t="s">
        <v>214</v>
      </c>
      <c r="B18" s="69">
        <f>0.5*(B9^2)*(B4^2)*B20+B12*B4*B19-B12*B15+B5</f>
        <v>0</v>
      </c>
      <c r="C18" s="1" t="s">
        <v>215</v>
      </c>
      <c r="D18" s="89">
        <v>10.199999999999999</v>
      </c>
    </row>
    <row r="19" spans="1:4" ht="15">
      <c r="A19" s="42" t="s">
        <v>216</v>
      </c>
      <c r="B19" s="87">
        <f>B16*((1-B10)*B14-(B5/B12))*(1/B4)*(B14/B4)^-B16</f>
        <v>2.0281753540039063</v>
      </c>
      <c r="C19" s="70" t="s">
        <v>270</v>
      </c>
      <c r="D19" s="90" t="s">
        <v>273</v>
      </c>
    </row>
    <row r="20" spans="1:4" ht="15">
      <c r="A20" s="42" t="s">
        <v>217</v>
      </c>
      <c r="B20" s="87">
        <f>((B16^2)-B16)*((1-B10)*B14-(B5/B12))*(1/(B4^2))*(B14/B4)^-B16</f>
        <v>-0.20281753540039058</v>
      </c>
      <c r="C20" s="70" t="s">
        <v>271</v>
      </c>
      <c r="D20" s="90" t="s">
        <v>274</v>
      </c>
    </row>
  </sheetData>
  <printOptions horizontalCentered="1" headings="1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J55"/>
  <sheetViews>
    <sheetView topLeftCell="A23" workbookViewId="0">
      <selection activeCell="K48" sqref="K48"/>
    </sheetView>
  </sheetViews>
  <sheetFormatPr defaultRowHeight="12.75"/>
  <cols>
    <col min="1" max="1" width="15.5703125" bestFit="1" customWidth="1"/>
    <col min="2" max="2" width="10.85546875" bestFit="1" customWidth="1"/>
    <col min="3" max="3" width="10.28515625" bestFit="1" customWidth="1"/>
  </cols>
  <sheetData>
    <row r="1" spans="1:10">
      <c r="B1" s="48" t="s">
        <v>219</v>
      </c>
    </row>
    <row r="2" spans="1:10">
      <c r="A2" s="44" t="s">
        <v>220</v>
      </c>
      <c r="B2" s="44"/>
      <c r="C2" s="44"/>
    </row>
    <row r="3" spans="1:10" ht="18.75">
      <c r="A3" s="71" t="s">
        <v>221</v>
      </c>
      <c r="B3" s="71"/>
      <c r="C3" s="71"/>
    </row>
    <row r="4" spans="1:10" ht="15">
      <c r="B4" t="s">
        <v>148</v>
      </c>
      <c r="C4" s="72" t="s">
        <v>140</v>
      </c>
    </row>
    <row r="5" spans="1:10">
      <c r="A5" t="s">
        <v>185</v>
      </c>
      <c r="B5" s="4">
        <v>50</v>
      </c>
      <c r="C5" s="4">
        <f>B5+10</f>
        <v>60</v>
      </c>
      <c r="D5" s="4">
        <f t="shared" ref="D5:J5" si="0">C5+10</f>
        <v>70</v>
      </c>
      <c r="E5" s="4">
        <f t="shared" si="0"/>
        <v>80</v>
      </c>
      <c r="F5" s="4">
        <f t="shared" si="0"/>
        <v>90</v>
      </c>
      <c r="G5" s="4">
        <f t="shared" si="0"/>
        <v>100</v>
      </c>
      <c r="H5" s="4">
        <f t="shared" si="0"/>
        <v>110</v>
      </c>
      <c r="I5" s="4">
        <f t="shared" si="0"/>
        <v>120</v>
      </c>
      <c r="J5" s="4">
        <f t="shared" si="0"/>
        <v>130</v>
      </c>
    </row>
    <row r="6" spans="1:10">
      <c r="A6" t="s">
        <v>224</v>
      </c>
      <c r="B6" s="4">
        <f>B8/B13</f>
        <v>100</v>
      </c>
      <c r="C6" s="4">
        <f>B6</f>
        <v>100</v>
      </c>
      <c r="D6" s="4">
        <f t="shared" ref="D6:J6" si="1">C6</f>
        <v>100</v>
      </c>
      <c r="E6" s="4">
        <f t="shared" si="1"/>
        <v>100</v>
      </c>
      <c r="F6" s="4">
        <f t="shared" si="1"/>
        <v>100</v>
      </c>
      <c r="G6" s="4">
        <f t="shared" si="1"/>
        <v>100</v>
      </c>
      <c r="H6" s="4">
        <f t="shared" si="1"/>
        <v>100</v>
      </c>
      <c r="I6" s="4">
        <f t="shared" si="1"/>
        <v>100</v>
      </c>
      <c r="J6" s="4">
        <f t="shared" si="1"/>
        <v>100</v>
      </c>
    </row>
    <row r="7" spans="1:10">
      <c r="A7" t="s">
        <v>225</v>
      </c>
      <c r="B7" s="4">
        <f>B5-B6</f>
        <v>-50</v>
      </c>
      <c r="C7" s="4">
        <f t="shared" ref="C7:J7" si="2">C5-C6</f>
        <v>-40</v>
      </c>
      <c r="D7" s="4">
        <f t="shared" si="2"/>
        <v>-30</v>
      </c>
      <c r="E7" s="4">
        <f t="shared" si="2"/>
        <v>-20</v>
      </c>
      <c r="F7" s="4">
        <f t="shared" si="2"/>
        <v>-10</v>
      </c>
      <c r="G7" s="4">
        <f t="shared" si="2"/>
        <v>0</v>
      </c>
      <c r="H7" s="4">
        <f t="shared" si="2"/>
        <v>10</v>
      </c>
      <c r="I7" s="4">
        <f t="shared" si="2"/>
        <v>20</v>
      </c>
      <c r="J7" s="4">
        <f t="shared" si="2"/>
        <v>30</v>
      </c>
    </row>
    <row r="8" spans="1:10">
      <c r="A8" t="s">
        <v>228</v>
      </c>
      <c r="B8" s="4">
        <f>B45</f>
        <v>6</v>
      </c>
      <c r="C8" s="4">
        <f>B8</f>
        <v>6</v>
      </c>
      <c r="D8" s="4">
        <f t="shared" ref="D8:J8" si="3">C8</f>
        <v>6</v>
      </c>
      <c r="E8" s="4">
        <f t="shared" si="3"/>
        <v>6</v>
      </c>
      <c r="F8" s="4">
        <f t="shared" si="3"/>
        <v>6</v>
      </c>
      <c r="G8" s="4">
        <f t="shared" si="3"/>
        <v>6</v>
      </c>
      <c r="H8" s="4">
        <f t="shared" si="3"/>
        <v>6</v>
      </c>
      <c r="I8" s="4">
        <f t="shared" si="3"/>
        <v>6</v>
      </c>
      <c r="J8" s="4">
        <f t="shared" si="3"/>
        <v>6</v>
      </c>
    </row>
    <row r="9" spans="1:10">
      <c r="A9" s="2" t="s">
        <v>187</v>
      </c>
      <c r="B9" s="4">
        <f>B46</f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5">
      <c r="A10" s="73" t="s">
        <v>3</v>
      </c>
      <c r="B10" s="74">
        <f>B47</f>
        <v>0.2</v>
      </c>
      <c r="C10" s="74">
        <v>0.2</v>
      </c>
      <c r="D10" s="74">
        <v>0.2</v>
      </c>
      <c r="E10" s="74">
        <v>0.2</v>
      </c>
      <c r="F10" s="74">
        <v>0.2</v>
      </c>
      <c r="G10" s="74">
        <v>0.2</v>
      </c>
      <c r="H10" s="74">
        <v>0.2</v>
      </c>
      <c r="I10" s="74">
        <v>0.2</v>
      </c>
      <c r="J10" s="74">
        <v>0.2</v>
      </c>
    </row>
    <row r="11" spans="1:10">
      <c r="A11" s="2" t="s">
        <v>141</v>
      </c>
      <c r="B11" s="4">
        <f>B48</f>
        <v>0.5</v>
      </c>
      <c r="C11" s="4">
        <v>0.5</v>
      </c>
      <c r="D11" s="4">
        <v>0.5</v>
      </c>
      <c r="E11" s="4">
        <v>0.5</v>
      </c>
      <c r="F11" s="4">
        <v>0.5</v>
      </c>
      <c r="G11" s="4">
        <v>0.5</v>
      </c>
      <c r="H11" s="4">
        <v>0.5</v>
      </c>
      <c r="I11" s="4">
        <v>0.5</v>
      </c>
      <c r="J11" s="4">
        <v>0.5</v>
      </c>
    </row>
    <row r="12" spans="1:10">
      <c r="A12" s="2" t="s">
        <v>137</v>
      </c>
      <c r="B12" s="4">
        <v>0.35</v>
      </c>
      <c r="C12" s="4">
        <v>0.35</v>
      </c>
      <c r="D12" s="4">
        <v>0.35</v>
      </c>
      <c r="E12" s="4">
        <v>0.35</v>
      </c>
      <c r="F12" s="4">
        <v>0.35</v>
      </c>
      <c r="G12" s="4">
        <v>0.35</v>
      </c>
      <c r="H12" s="4">
        <v>0.35</v>
      </c>
      <c r="I12" s="4">
        <v>0.35</v>
      </c>
      <c r="J12" s="4">
        <v>0.35</v>
      </c>
    </row>
    <row r="13" spans="1:10">
      <c r="A13" s="42" t="s">
        <v>211</v>
      </c>
      <c r="B13" s="4">
        <v>0.06</v>
      </c>
      <c r="C13" s="4">
        <v>0.06</v>
      </c>
      <c r="D13" s="4">
        <v>0.06</v>
      </c>
      <c r="E13" s="4">
        <v>0.06</v>
      </c>
      <c r="F13" s="4">
        <v>0.06</v>
      </c>
      <c r="G13" s="4">
        <v>0.06</v>
      </c>
      <c r="H13" s="4">
        <v>0.06</v>
      </c>
      <c r="I13" s="4">
        <v>0.06</v>
      </c>
      <c r="J13" s="4">
        <v>0.06</v>
      </c>
    </row>
    <row r="14" spans="1:10">
      <c r="A14" s="42" t="s">
        <v>150</v>
      </c>
    </row>
    <row r="15" spans="1:10">
      <c r="A15" s="42" t="str">
        <f>A5</f>
        <v>ASSET</v>
      </c>
      <c r="B15" s="42">
        <f t="shared" ref="B15:J15" si="4">B5</f>
        <v>50</v>
      </c>
      <c r="C15" s="42">
        <f t="shared" si="4"/>
        <v>60</v>
      </c>
      <c r="D15" s="42">
        <f t="shared" si="4"/>
        <v>70</v>
      </c>
      <c r="E15" s="42">
        <f t="shared" si="4"/>
        <v>80</v>
      </c>
      <c r="F15" s="42">
        <f t="shared" si="4"/>
        <v>90</v>
      </c>
      <c r="G15" s="42">
        <f t="shared" si="4"/>
        <v>100</v>
      </c>
      <c r="H15" s="42">
        <f t="shared" si="4"/>
        <v>110</v>
      </c>
      <c r="I15" s="42">
        <f t="shared" si="4"/>
        <v>120</v>
      </c>
      <c r="J15" s="42">
        <f t="shared" si="4"/>
        <v>130</v>
      </c>
    </row>
    <row r="16" spans="1:10">
      <c r="A16" s="42" t="s">
        <v>319</v>
      </c>
      <c r="B16" s="45">
        <f>B6-B18</f>
        <v>70.093740234374962</v>
      </c>
      <c r="C16" s="45">
        <f t="shared" ref="C16:J16" si="5">C6-C18</f>
        <v>40.563507080078118</v>
      </c>
      <c r="D16" s="45">
        <f t="shared" si="5"/>
        <v>25.544365974626459</v>
      </c>
      <c r="E16" s="45">
        <f t="shared" si="5"/>
        <v>17.112729549407959</v>
      </c>
      <c r="F16" s="45">
        <f t="shared" si="5"/>
        <v>12.018816912615748</v>
      </c>
      <c r="G16" s="45">
        <f t="shared" si="5"/>
        <v>8.7617175292968739</v>
      </c>
      <c r="H16" s="45">
        <f t="shared" si="5"/>
        <v>6.5828080610795467</v>
      </c>
      <c r="I16" s="45">
        <f t="shared" si="5"/>
        <v>5.0704383850097656</v>
      </c>
      <c r="J16" s="45">
        <f t="shared" si="5"/>
        <v>3.988037109375</v>
      </c>
    </row>
    <row r="17" spans="1:10">
      <c r="A17" s="42" t="s">
        <v>145</v>
      </c>
      <c r="B17" s="50">
        <f>B5+(B12*B8/B13)*(1-(B20/B5)^-B21)-B11*B20*(B20/B5)^-B21</f>
        <v>29.967724609375029</v>
      </c>
      <c r="C17" s="50">
        <f t="shared" ref="C17:I17" si="6">C5+(C12*C8/C13)*(1-(C20/C5)^-C21)-C11*C20*(C20/C5)^-C21</f>
        <v>63.152618408203132</v>
      </c>
      <c r="D17" s="50">
        <f t="shared" si="6"/>
        <v>84.944506052979236</v>
      </c>
      <c r="E17" s="50">
        <f t="shared" si="6"/>
        <v>101.56438589096069</v>
      </c>
      <c r="F17" s="50">
        <f t="shared" si="6"/>
        <v>115.56373878761572</v>
      </c>
      <c r="G17" s="50">
        <f t="shared" si="6"/>
        <v>128.12096557617187</v>
      </c>
      <c r="H17" s="50">
        <f t="shared" si="6"/>
        <v>139.83167962146646</v>
      </c>
      <c r="I17" s="50">
        <f t="shared" si="6"/>
        <v>151.01907730102539</v>
      </c>
      <c r="J17" s="50">
        <f>J5+(J12*J8/J13)*(1-(J20/J5)^-J21)-J11*J20*(J20/J5)^-J21</f>
        <v>161.868896484375</v>
      </c>
    </row>
    <row r="18" spans="1:10">
      <c r="A18" s="42" t="s">
        <v>230</v>
      </c>
      <c r="B18" s="50">
        <f>(B8/B13)+((1-B11)*B20-(B8/B13))*(B20/B5)^-B21</f>
        <v>29.906259765625038</v>
      </c>
      <c r="C18" s="50">
        <f t="shared" ref="C18:I18" si="7">(C8/C13)+((1-C11)*C20-(C8/C13))*(C20/C5)^-C21</f>
        <v>59.436492919921882</v>
      </c>
      <c r="D18" s="50">
        <f t="shared" si="7"/>
        <v>74.455634025373541</v>
      </c>
      <c r="E18" s="50">
        <f t="shared" si="7"/>
        <v>82.887270450592041</v>
      </c>
      <c r="F18" s="50">
        <f t="shared" si="7"/>
        <v>87.981183087384252</v>
      </c>
      <c r="G18" s="50">
        <f t="shared" si="7"/>
        <v>91.238282470703126</v>
      </c>
      <c r="H18" s="50">
        <f t="shared" si="7"/>
        <v>93.417191938920453</v>
      </c>
      <c r="I18" s="50">
        <f t="shared" si="7"/>
        <v>94.929561614990234</v>
      </c>
      <c r="J18" s="50">
        <f>(J8/J13)+((1-J11)*J20-(J8/J13))*(J20/J5)^-J21</f>
        <v>96.011962890625</v>
      </c>
    </row>
    <row r="19" spans="1:10">
      <c r="A19" s="42" t="s">
        <v>231</v>
      </c>
      <c r="B19" s="50">
        <f t="shared" ref="B19:J19" si="8">B5-(1-B12)*(B8/B13)+((1-B12)*(B8/B13)-B20)*((B20/B5)^-B21)</f>
        <v>6.1464843750000497E-2</v>
      </c>
      <c r="C19" s="50">
        <f t="shared" si="8"/>
        <v>3.7161254882812518</v>
      </c>
      <c r="D19" s="50">
        <f t="shared" si="8"/>
        <v>10.488872027605685</v>
      </c>
      <c r="E19" s="50">
        <f t="shared" si="8"/>
        <v>18.677115440368652</v>
      </c>
      <c r="F19" s="50">
        <f t="shared" si="8"/>
        <v>27.582555700231485</v>
      </c>
      <c r="G19" s="50">
        <f t="shared" si="8"/>
        <v>36.88268310546875</v>
      </c>
      <c r="H19" s="50">
        <f t="shared" si="8"/>
        <v>46.414487682546017</v>
      </c>
      <c r="I19" s="50">
        <f t="shared" si="8"/>
        <v>56.089515686035156</v>
      </c>
      <c r="J19" s="50">
        <f t="shared" si="8"/>
        <v>65.85693359375</v>
      </c>
    </row>
    <row r="20" spans="1:10" ht="14.25">
      <c r="A20" s="42" t="s">
        <v>212</v>
      </c>
      <c r="B20" s="4">
        <f>(1-B12)*(B8/B13)*(-B21/(-B21+1))</f>
        <v>48.749999999999993</v>
      </c>
      <c r="C20" s="4">
        <f t="shared" ref="C20:J20" si="9">(1-C12)*(C8/C13)*(-C21/(-C21+1))</f>
        <v>48.749999999999993</v>
      </c>
      <c r="D20" s="4">
        <f t="shared" si="9"/>
        <v>48.749999999999993</v>
      </c>
      <c r="E20" s="4">
        <f t="shared" si="9"/>
        <v>48.749999999999993</v>
      </c>
      <c r="F20" s="4">
        <f t="shared" si="9"/>
        <v>48.749999999999993</v>
      </c>
      <c r="G20" s="4">
        <f t="shared" si="9"/>
        <v>48.749999999999993</v>
      </c>
      <c r="H20" s="4">
        <f t="shared" si="9"/>
        <v>48.749999999999993</v>
      </c>
      <c r="I20" s="4">
        <f t="shared" si="9"/>
        <v>48.749999999999993</v>
      </c>
      <c r="J20" s="4">
        <f t="shared" si="9"/>
        <v>48.749999999999993</v>
      </c>
    </row>
    <row r="21" spans="1:10" ht="14.25">
      <c r="A21" s="2" t="s">
        <v>130</v>
      </c>
      <c r="B21" s="53">
        <f>(0.5-(B13-B9)/(B10^2)-SQRT((0.5-(B13-B9)/(B10^2))^2+2*B13/(B10^2)))</f>
        <v>-2.9999999999999991</v>
      </c>
      <c r="C21" s="53">
        <f t="shared" ref="C21:I21" si="10">(0.5-(C13-C9)/(C10^2)-SQRT((0.5-(C13-C9)/(C10^2))^2+2*C13/(C10^2)))</f>
        <v>-2.9999999999999991</v>
      </c>
      <c r="D21" s="53">
        <f t="shared" si="10"/>
        <v>-2.9999999999999991</v>
      </c>
      <c r="E21" s="53">
        <f t="shared" si="10"/>
        <v>-2.9999999999999991</v>
      </c>
      <c r="F21" s="53">
        <f t="shared" si="10"/>
        <v>-2.9999999999999991</v>
      </c>
      <c r="G21" s="53">
        <f t="shared" si="10"/>
        <v>-2.9999999999999991</v>
      </c>
      <c r="H21" s="53">
        <f t="shared" si="10"/>
        <v>-2.9999999999999991</v>
      </c>
      <c r="I21" s="53">
        <f t="shared" si="10"/>
        <v>-2.9999999999999991</v>
      </c>
      <c r="J21" s="53">
        <f>(0.5-(J13-J9)/(J10^2)-SQRT((0.5-(J13-J9)/(J10^2))^2+2*J13/(J10^2)))</f>
        <v>-2.9999999999999991</v>
      </c>
    </row>
    <row r="23" spans="1:10">
      <c r="B23" s="14" t="s">
        <v>140</v>
      </c>
    </row>
    <row r="24" spans="1:10">
      <c r="B24" s="14" t="s">
        <v>140</v>
      </c>
    </row>
    <row r="25" spans="1:10">
      <c r="B25" s="14" t="s">
        <v>140</v>
      </c>
    </row>
    <row r="26" spans="1:10">
      <c r="A26" s="42" t="s">
        <v>140</v>
      </c>
      <c r="B26" s="75" t="s">
        <v>140</v>
      </c>
    </row>
    <row r="27" spans="1:10">
      <c r="A27" s="2" t="s">
        <v>140</v>
      </c>
      <c r="B27" s="88" t="s">
        <v>140</v>
      </c>
    </row>
    <row r="45" spans="1:2">
      <c r="A45" t="s">
        <v>228</v>
      </c>
      <c r="B45" s="4">
        <v>6</v>
      </c>
    </row>
    <row r="46" spans="1:2">
      <c r="A46" s="2" t="s">
        <v>187</v>
      </c>
      <c r="B46" s="4">
        <v>0</v>
      </c>
    </row>
    <row r="47" spans="1:2" ht="15">
      <c r="A47" s="73" t="s">
        <v>3</v>
      </c>
      <c r="B47" s="74">
        <v>0.2</v>
      </c>
    </row>
    <row r="48" spans="1:2">
      <c r="A48" s="2" t="s">
        <v>141</v>
      </c>
      <c r="B48" s="74">
        <v>0.5</v>
      </c>
    </row>
    <row r="50" spans="1:2">
      <c r="A50" s="42" t="s">
        <v>319</v>
      </c>
      <c r="B50" s="45" t="s">
        <v>320</v>
      </c>
    </row>
    <row r="51" spans="1:2">
      <c r="A51" s="42" t="s">
        <v>145</v>
      </c>
      <c r="B51" s="50" t="s">
        <v>321</v>
      </c>
    </row>
    <row r="52" spans="1:2">
      <c r="A52" s="42" t="s">
        <v>230</v>
      </c>
      <c r="B52" s="50" t="s">
        <v>322</v>
      </c>
    </row>
    <row r="53" spans="1:2">
      <c r="A53" s="42" t="s">
        <v>231</v>
      </c>
      <c r="B53" s="50" t="s">
        <v>323</v>
      </c>
    </row>
    <row r="54" spans="1:2" ht="14.25">
      <c r="A54" s="42" t="s">
        <v>212</v>
      </c>
      <c r="B54" s="4" t="s">
        <v>324</v>
      </c>
    </row>
    <row r="55" spans="1:2" ht="14.25">
      <c r="A55" s="2" t="s">
        <v>130</v>
      </c>
      <c r="B55" s="53" t="s">
        <v>325</v>
      </c>
    </row>
  </sheetData>
  <printOptions headings="1"/>
  <pageMargins left="0.7" right="0.7" top="0.75" bottom="0.75" header="0.3" footer="0.3"/>
  <pageSetup scale="88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1"/>
  <sheetViews>
    <sheetView topLeftCell="A8" workbookViewId="0">
      <selection activeCell="B28" sqref="B28"/>
    </sheetView>
  </sheetViews>
  <sheetFormatPr defaultRowHeight="12.75"/>
  <cols>
    <col min="1" max="1" width="15.7109375" bestFit="1" customWidth="1"/>
    <col min="2" max="2" width="6.140625" customWidth="1"/>
    <col min="3" max="9" width="5.7109375" customWidth="1"/>
    <col min="10" max="13" width="6.5703125" customWidth="1"/>
    <col min="14" max="14" width="7.140625" customWidth="1"/>
  </cols>
  <sheetData>
    <row r="1" spans="1:16" ht="18.75">
      <c r="A1" s="18" t="s">
        <v>293</v>
      </c>
      <c r="B1" s="18"/>
      <c r="C1" s="18"/>
      <c r="D1" s="18"/>
      <c r="E1" s="18"/>
      <c r="F1" s="18"/>
      <c r="G1" s="44"/>
      <c r="H1" s="44"/>
      <c r="I1" s="44"/>
      <c r="J1" s="44"/>
      <c r="K1" s="44"/>
      <c r="L1" s="44"/>
      <c r="M1" s="44"/>
      <c r="N1" s="44"/>
    </row>
    <row r="2" spans="1:16" ht="18.75">
      <c r="A2" s="18" t="s">
        <v>153</v>
      </c>
      <c r="B2" s="18"/>
      <c r="C2" s="18"/>
      <c r="D2" s="18"/>
      <c r="E2" s="18"/>
      <c r="F2" s="18"/>
      <c r="G2" s="44"/>
      <c r="H2" s="44"/>
      <c r="I2" s="44"/>
      <c r="J2" s="44"/>
      <c r="K2" s="44"/>
      <c r="L2" s="44"/>
      <c r="M2" s="44"/>
      <c r="N2" s="44"/>
      <c r="P2" s="11"/>
    </row>
    <row r="3" spans="1:16">
      <c r="A3" s="17" t="s">
        <v>389</v>
      </c>
      <c r="B3" s="94">
        <v>0</v>
      </c>
      <c r="C3" s="94">
        <f>B3+25</f>
        <v>25</v>
      </c>
      <c r="D3" s="94">
        <f t="shared" ref="D3:N3" si="0">C3+25</f>
        <v>50</v>
      </c>
      <c r="E3" s="94">
        <f t="shared" si="0"/>
        <v>75</v>
      </c>
      <c r="F3" s="94">
        <f t="shared" si="0"/>
        <v>100</v>
      </c>
      <c r="G3" s="94">
        <f t="shared" si="0"/>
        <v>125</v>
      </c>
      <c r="H3" s="94">
        <f t="shared" si="0"/>
        <v>150</v>
      </c>
      <c r="I3" s="94">
        <f t="shared" si="0"/>
        <v>175</v>
      </c>
      <c r="J3" s="94">
        <f t="shared" si="0"/>
        <v>200</v>
      </c>
      <c r="K3" s="94">
        <f t="shared" si="0"/>
        <v>225</v>
      </c>
      <c r="L3" s="94">
        <f t="shared" si="0"/>
        <v>250</v>
      </c>
      <c r="M3" s="94">
        <f t="shared" si="0"/>
        <v>275</v>
      </c>
      <c r="N3" s="94">
        <f t="shared" si="0"/>
        <v>300</v>
      </c>
    </row>
    <row r="4" spans="1:16">
      <c r="A4" s="17" t="s">
        <v>388</v>
      </c>
      <c r="B4" s="94">
        <f>B26</f>
        <v>150</v>
      </c>
      <c r="C4" s="94">
        <f>B4</f>
        <v>150</v>
      </c>
      <c r="D4" s="94">
        <f t="shared" ref="D4:N4" si="1">C4</f>
        <v>150</v>
      </c>
      <c r="E4" s="94">
        <f t="shared" si="1"/>
        <v>150</v>
      </c>
      <c r="F4" s="94">
        <f t="shared" si="1"/>
        <v>150</v>
      </c>
      <c r="G4" s="94">
        <f t="shared" si="1"/>
        <v>150</v>
      </c>
      <c r="H4" s="94">
        <f t="shared" si="1"/>
        <v>150</v>
      </c>
      <c r="I4" s="94">
        <f t="shared" si="1"/>
        <v>150</v>
      </c>
      <c r="J4" s="94">
        <f t="shared" si="1"/>
        <v>150</v>
      </c>
      <c r="K4" s="94">
        <f t="shared" si="1"/>
        <v>150</v>
      </c>
      <c r="L4" s="94">
        <f t="shared" si="1"/>
        <v>150</v>
      </c>
      <c r="M4" s="94">
        <f t="shared" si="1"/>
        <v>150</v>
      </c>
      <c r="N4" s="94">
        <f t="shared" si="1"/>
        <v>150</v>
      </c>
    </row>
    <row r="5" spans="1:16">
      <c r="A5" s="7" t="s">
        <v>183</v>
      </c>
      <c r="B5" s="8">
        <v>0.04</v>
      </c>
      <c r="C5" s="8">
        <f>B5</f>
        <v>0.04</v>
      </c>
      <c r="D5" s="8">
        <f t="shared" ref="D5:N5" si="2">C5</f>
        <v>0.04</v>
      </c>
      <c r="E5" s="8">
        <f t="shared" si="2"/>
        <v>0.04</v>
      </c>
      <c r="F5" s="8">
        <f t="shared" si="2"/>
        <v>0.04</v>
      </c>
      <c r="G5" s="8">
        <f t="shared" si="2"/>
        <v>0.04</v>
      </c>
      <c r="H5" s="8">
        <f t="shared" si="2"/>
        <v>0.04</v>
      </c>
      <c r="I5" s="8">
        <f t="shared" si="2"/>
        <v>0.04</v>
      </c>
      <c r="J5" s="8">
        <f t="shared" si="2"/>
        <v>0.04</v>
      </c>
      <c r="K5" s="8">
        <f t="shared" si="2"/>
        <v>0.04</v>
      </c>
      <c r="L5" s="8">
        <f t="shared" si="2"/>
        <v>0.04</v>
      </c>
      <c r="M5" s="8">
        <f t="shared" si="2"/>
        <v>0.04</v>
      </c>
      <c r="N5" s="8">
        <f t="shared" si="2"/>
        <v>0.04</v>
      </c>
    </row>
    <row r="6" spans="1:16">
      <c r="A6" s="7" t="s">
        <v>149</v>
      </c>
      <c r="B6" s="8">
        <f>B28</f>
        <v>0.2</v>
      </c>
      <c r="C6" s="8">
        <f>B6</f>
        <v>0.2</v>
      </c>
      <c r="D6" s="8">
        <f t="shared" ref="D6:N6" si="3">C6</f>
        <v>0.2</v>
      </c>
      <c r="E6" s="8">
        <f t="shared" si="3"/>
        <v>0.2</v>
      </c>
      <c r="F6" s="8">
        <f t="shared" si="3"/>
        <v>0.2</v>
      </c>
      <c r="G6" s="8">
        <f t="shared" si="3"/>
        <v>0.2</v>
      </c>
      <c r="H6" s="8">
        <f t="shared" si="3"/>
        <v>0.2</v>
      </c>
      <c r="I6" s="8">
        <f t="shared" si="3"/>
        <v>0.2</v>
      </c>
      <c r="J6" s="8">
        <f t="shared" si="3"/>
        <v>0.2</v>
      </c>
      <c r="K6" s="8">
        <f t="shared" si="3"/>
        <v>0.2</v>
      </c>
      <c r="L6" s="8">
        <f t="shared" si="3"/>
        <v>0.2</v>
      </c>
      <c r="M6" s="8">
        <f t="shared" si="3"/>
        <v>0.2</v>
      </c>
      <c r="N6" s="8">
        <f t="shared" si="3"/>
        <v>0.2</v>
      </c>
    </row>
    <row r="7" spans="1:16">
      <c r="A7" s="11" t="s">
        <v>125</v>
      </c>
      <c r="B7" s="8">
        <f>B27</f>
        <v>0.04</v>
      </c>
      <c r="C7" s="8">
        <f>B7</f>
        <v>0.04</v>
      </c>
      <c r="D7" s="8">
        <f t="shared" ref="D7:N7" si="4">C7</f>
        <v>0.04</v>
      </c>
      <c r="E7" s="8">
        <f t="shared" si="4"/>
        <v>0.04</v>
      </c>
      <c r="F7" s="8">
        <f t="shared" si="4"/>
        <v>0.04</v>
      </c>
      <c r="G7" s="8">
        <f t="shared" si="4"/>
        <v>0.04</v>
      </c>
      <c r="H7" s="8">
        <f t="shared" si="4"/>
        <v>0.04</v>
      </c>
      <c r="I7" s="8">
        <f t="shared" si="4"/>
        <v>0.04</v>
      </c>
      <c r="J7" s="8">
        <f t="shared" si="4"/>
        <v>0.04</v>
      </c>
      <c r="K7" s="8">
        <f t="shared" si="4"/>
        <v>0.04</v>
      </c>
      <c r="L7" s="8">
        <f t="shared" si="4"/>
        <v>0.04</v>
      </c>
      <c r="M7" s="8">
        <f t="shared" si="4"/>
        <v>0.04</v>
      </c>
      <c r="N7" s="8">
        <f t="shared" si="4"/>
        <v>0.04</v>
      </c>
    </row>
    <row r="8" spans="1:16">
      <c r="A8" s="7" t="s">
        <v>182</v>
      </c>
      <c r="B8" s="95">
        <f>IF(B3&gt;B10,B9,(B10-B4)*((B3/B10)^B11))</f>
        <v>0</v>
      </c>
      <c r="C8" s="94">
        <f t="shared" ref="C8:N8" si="5">IF(C3&gt;C10,C9,(C10-C4)*((C3/C10)^C11))</f>
        <v>1.0416666666666665</v>
      </c>
      <c r="D8" s="94">
        <f t="shared" si="5"/>
        <v>4.1666666666666661</v>
      </c>
      <c r="E8" s="94">
        <f t="shared" si="5"/>
        <v>9.375</v>
      </c>
      <c r="F8" s="94">
        <f t="shared" si="5"/>
        <v>16.666666666666664</v>
      </c>
      <c r="G8" s="94">
        <f t="shared" si="5"/>
        <v>26.041666666666671</v>
      </c>
      <c r="H8" s="94">
        <f t="shared" si="5"/>
        <v>37.5</v>
      </c>
      <c r="I8" s="94">
        <f t="shared" si="5"/>
        <v>51.041666666666679</v>
      </c>
      <c r="J8" s="94">
        <f t="shared" si="5"/>
        <v>66.666666666666657</v>
      </c>
      <c r="K8" s="94">
        <f t="shared" si="5"/>
        <v>84.375</v>
      </c>
      <c r="L8" s="94">
        <f t="shared" si="5"/>
        <v>104.16666666666669</v>
      </c>
      <c r="M8" s="94">
        <f t="shared" si="5"/>
        <v>126.04166666666666</v>
      </c>
      <c r="N8" s="94">
        <f t="shared" si="5"/>
        <v>150</v>
      </c>
      <c r="P8" s="37"/>
    </row>
    <row r="9" spans="1:16">
      <c r="A9" t="s">
        <v>186</v>
      </c>
      <c r="B9" s="95">
        <f>IF(B3-B4&gt;0,(B3-B4),0)</f>
        <v>0</v>
      </c>
      <c r="C9" s="94">
        <f t="shared" ref="C9:N9" si="6">IF(C3-C4&gt;0,(C3-C4),0)</f>
        <v>0</v>
      </c>
      <c r="D9" s="94">
        <f t="shared" si="6"/>
        <v>0</v>
      </c>
      <c r="E9" s="94">
        <f t="shared" si="6"/>
        <v>0</v>
      </c>
      <c r="F9" s="94">
        <f t="shared" si="6"/>
        <v>0</v>
      </c>
      <c r="G9" s="94">
        <f t="shared" si="6"/>
        <v>0</v>
      </c>
      <c r="H9" s="94">
        <f t="shared" si="6"/>
        <v>0</v>
      </c>
      <c r="I9" s="94">
        <f t="shared" si="6"/>
        <v>25</v>
      </c>
      <c r="J9" s="94">
        <f t="shared" si="6"/>
        <v>50</v>
      </c>
      <c r="K9" s="94">
        <f t="shared" si="6"/>
        <v>75</v>
      </c>
      <c r="L9" s="94">
        <f t="shared" si="6"/>
        <v>100</v>
      </c>
      <c r="M9" s="94">
        <f t="shared" si="6"/>
        <v>125</v>
      </c>
      <c r="N9" s="94">
        <f t="shared" si="6"/>
        <v>150</v>
      </c>
      <c r="P9" s="37"/>
    </row>
    <row r="10" spans="1:16">
      <c r="A10" s="11" t="s">
        <v>145</v>
      </c>
      <c r="B10" s="95">
        <f>B4*B11/(B11-1)</f>
        <v>300</v>
      </c>
      <c r="C10" s="94">
        <f t="shared" ref="C10:N10" si="7">C4*C11/(C11-1)</f>
        <v>300</v>
      </c>
      <c r="D10" s="94">
        <f t="shared" si="7"/>
        <v>300</v>
      </c>
      <c r="E10" s="94">
        <f t="shared" si="7"/>
        <v>300</v>
      </c>
      <c r="F10" s="94">
        <f t="shared" si="7"/>
        <v>300</v>
      </c>
      <c r="G10" s="94">
        <f t="shared" si="7"/>
        <v>300</v>
      </c>
      <c r="H10" s="94">
        <f t="shared" si="7"/>
        <v>300</v>
      </c>
      <c r="I10" s="94">
        <f t="shared" si="7"/>
        <v>300</v>
      </c>
      <c r="J10" s="94">
        <f t="shared" si="7"/>
        <v>300</v>
      </c>
      <c r="K10" s="94">
        <f t="shared" si="7"/>
        <v>300</v>
      </c>
      <c r="L10" s="94">
        <f t="shared" si="7"/>
        <v>300</v>
      </c>
      <c r="M10" s="94">
        <f t="shared" si="7"/>
        <v>300</v>
      </c>
      <c r="N10" s="94">
        <f t="shared" si="7"/>
        <v>300</v>
      </c>
    </row>
    <row r="11" spans="1:16">
      <c r="A11" s="10" t="s">
        <v>144</v>
      </c>
      <c r="B11" s="25">
        <f>(B7-B5+(B6^2)/2+SQRT((B5-B7-(B6^2)/2)^2+2*B5*(B6^2)))/(B6^2)</f>
        <v>2</v>
      </c>
      <c r="C11" s="25">
        <f t="shared" ref="C11:N11" si="8">(C7-C5+(C6^2)/2+SQRT((C5-C7-(C6^2)/2)^2+2*C5*(C6^2)))/(C6^2)</f>
        <v>2</v>
      </c>
      <c r="D11" s="25">
        <f t="shared" si="8"/>
        <v>2</v>
      </c>
      <c r="E11" s="25">
        <f t="shared" si="8"/>
        <v>2</v>
      </c>
      <c r="F11" s="25">
        <f t="shared" si="8"/>
        <v>2</v>
      </c>
      <c r="G11" s="25">
        <f t="shared" si="8"/>
        <v>2</v>
      </c>
      <c r="H11" s="25">
        <f t="shared" si="8"/>
        <v>2</v>
      </c>
      <c r="I11" s="25">
        <f t="shared" si="8"/>
        <v>2</v>
      </c>
      <c r="J11" s="25">
        <f t="shared" si="8"/>
        <v>2</v>
      </c>
      <c r="K11" s="25">
        <f t="shared" si="8"/>
        <v>2</v>
      </c>
      <c r="L11" s="25">
        <f t="shared" si="8"/>
        <v>2</v>
      </c>
      <c r="M11" s="25">
        <f t="shared" si="8"/>
        <v>2</v>
      </c>
      <c r="N11" s="25">
        <f t="shared" si="8"/>
        <v>2</v>
      </c>
    </row>
    <row r="26" spans="1:2">
      <c r="A26" t="s">
        <v>181</v>
      </c>
      <c r="B26">
        <v>150</v>
      </c>
    </row>
    <row r="27" spans="1:2">
      <c r="A27" s="17" t="s">
        <v>135</v>
      </c>
      <c r="B27">
        <v>0.04</v>
      </c>
    </row>
    <row r="28" spans="1:2">
      <c r="A28" t="s">
        <v>149</v>
      </c>
      <c r="B28" s="4">
        <v>0.2</v>
      </c>
    </row>
    <row r="29" spans="1:2">
      <c r="A29" s="7" t="s">
        <v>182</v>
      </c>
      <c r="B29" s="95" t="s">
        <v>297</v>
      </c>
    </row>
    <row r="30" spans="1:2">
      <c r="A30" t="s">
        <v>186</v>
      </c>
      <c r="B30" s="95" t="s">
        <v>298</v>
      </c>
    </row>
    <row r="31" spans="1:2">
      <c r="A31" s="11" t="s">
        <v>145</v>
      </c>
      <c r="B31" s="95" t="s">
        <v>299</v>
      </c>
    </row>
  </sheetData>
  <phoneticPr fontId="8" type="noConversion"/>
  <printOptions horizontalCentered="1" headings="1"/>
  <pageMargins left="0.75" right="0.75" top="1" bottom="1" header="0.5" footer="0.5"/>
  <pageSetup scale="91" orientation="portrait" horizontalDpi="4294967293" verticalDpi="4294967293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E26"/>
  <sheetViews>
    <sheetView workbookViewId="0">
      <selection activeCell="B1" sqref="B1"/>
    </sheetView>
  </sheetViews>
  <sheetFormatPr defaultRowHeight="12.75"/>
  <cols>
    <col min="1" max="1" width="10.28515625" bestFit="1" customWidth="1"/>
    <col min="2" max="2" width="10.85546875" bestFit="1" customWidth="1"/>
    <col min="3" max="3" width="10.28515625" bestFit="1" customWidth="1"/>
  </cols>
  <sheetData>
    <row r="1" spans="1:5">
      <c r="B1" s="48" t="s">
        <v>219</v>
      </c>
    </row>
    <row r="2" spans="1:5">
      <c r="A2" s="59" t="s">
        <v>232</v>
      </c>
      <c r="B2" s="44"/>
      <c r="C2" s="44"/>
    </row>
    <row r="3" spans="1:5" ht="18.75">
      <c r="A3" s="71" t="s">
        <v>221</v>
      </c>
      <c r="B3" s="71"/>
      <c r="C3" s="71"/>
    </row>
    <row r="4" spans="1:5" ht="15">
      <c r="B4" s="72" t="s">
        <v>222</v>
      </c>
      <c r="C4" s="72" t="s">
        <v>223</v>
      </c>
    </row>
    <row r="5" spans="1:5">
      <c r="A5" t="s">
        <v>136</v>
      </c>
      <c r="B5" s="4">
        <f>B10</f>
        <v>35</v>
      </c>
      <c r="C5" s="50">
        <f>C10+(C16*C11/C17)*(1-(C19/C10)^-C20)-C15*C19*(C19/C10)^-C20</f>
        <v>26.640700923226426</v>
      </c>
      <c r="E5">
        <v>10.7</v>
      </c>
    </row>
    <row r="6" spans="1:5">
      <c r="A6" t="s">
        <v>224</v>
      </c>
      <c r="B6" s="4">
        <f>B11/C17</f>
        <v>66.666666666666671</v>
      </c>
      <c r="C6" s="50">
        <f>(C11/C17)+((1-C15)*C19-(C11/C17))*(C19/C10)^-C20</f>
        <v>26.300261175898925</v>
      </c>
      <c r="E6">
        <v>10.6</v>
      </c>
    </row>
    <row r="7" spans="1:5">
      <c r="A7" t="s">
        <v>225</v>
      </c>
      <c r="B7" s="4">
        <f>B5-B6</f>
        <v>-31.666666666666671</v>
      </c>
      <c r="C7" s="50">
        <f>C10-(1-C16)*(C11/C17)+((1-C16)*(C11/C17)-C19)*((C19/C10)^-C20)</f>
        <v>0.34043974732750293</v>
      </c>
      <c r="E7">
        <v>10.8</v>
      </c>
    </row>
    <row r="8" spans="1:5">
      <c r="B8" s="4"/>
    </row>
    <row r="9" spans="1:5">
      <c r="A9" t="s">
        <v>148</v>
      </c>
      <c r="B9" s="4" t="s">
        <v>226</v>
      </c>
    </row>
    <row r="10" spans="1:5">
      <c r="A10" t="s">
        <v>227</v>
      </c>
      <c r="B10" s="60">
        <v>35</v>
      </c>
      <c r="C10" s="60">
        <f>B10</f>
        <v>35</v>
      </c>
    </row>
    <row r="11" spans="1:5">
      <c r="A11" t="s">
        <v>228</v>
      </c>
      <c r="B11" s="50">
        <v>4</v>
      </c>
      <c r="C11" s="50">
        <f>B11</f>
        <v>4</v>
      </c>
    </row>
    <row r="12" spans="1:5">
      <c r="A12" t="s">
        <v>229</v>
      </c>
      <c r="B12" s="4">
        <f>B11/C17</f>
        <v>66.666666666666671</v>
      </c>
      <c r="C12" s="4">
        <f>B12</f>
        <v>66.666666666666671</v>
      </c>
    </row>
    <row r="13" spans="1:5">
      <c r="A13" s="2" t="s">
        <v>187</v>
      </c>
      <c r="C13" s="4">
        <v>0</v>
      </c>
    </row>
    <row r="14" spans="1:5" ht="15">
      <c r="A14" s="73" t="s">
        <v>3</v>
      </c>
      <c r="C14" s="50">
        <v>0.2</v>
      </c>
    </row>
    <row r="15" spans="1:5">
      <c r="A15" s="2" t="s">
        <v>141</v>
      </c>
      <c r="C15" s="4">
        <v>0.5</v>
      </c>
    </row>
    <row r="16" spans="1:5">
      <c r="A16" s="2" t="s">
        <v>137</v>
      </c>
      <c r="C16" s="50">
        <v>0.35</v>
      </c>
    </row>
    <row r="17" spans="1:5">
      <c r="A17" s="42" t="s">
        <v>211</v>
      </c>
      <c r="C17" s="50">
        <v>0.06</v>
      </c>
    </row>
    <row r="18" spans="1:5">
      <c r="A18" s="42" t="s">
        <v>150</v>
      </c>
    </row>
    <row r="19" spans="1:5" ht="14.25">
      <c r="A19" s="42" t="s">
        <v>212</v>
      </c>
      <c r="C19" s="4">
        <f>(1-C16)*(C11/C17)*(-C20/(-C20+1))</f>
        <v>32.5</v>
      </c>
      <c r="E19">
        <v>10.9</v>
      </c>
    </row>
    <row r="20" spans="1:5" ht="14.25">
      <c r="A20" s="2" t="s">
        <v>130</v>
      </c>
      <c r="C20" s="53">
        <f>(0.5-(C17-C13)/(C14^2)-SQRT((0.5-(C17-C13)/(C14^2))^2+2*C17/(C14^2)))</f>
        <v>-2.9999999999999991</v>
      </c>
      <c r="E20">
        <v>10.5</v>
      </c>
    </row>
    <row r="22" spans="1:5">
      <c r="A22" s="42" t="s">
        <v>145</v>
      </c>
      <c r="B22" s="14" t="s">
        <v>277</v>
      </c>
    </row>
    <row r="23" spans="1:5">
      <c r="A23" s="42" t="s">
        <v>230</v>
      </c>
      <c r="B23" s="14" t="s">
        <v>278</v>
      </c>
    </row>
    <row r="24" spans="1:5">
      <c r="A24" s="42" t="s">
        <v>231</v>
      </c>
      <c r="B24" s="14" t="s">
        <v>279</v>
      </c>
    </row>
    <row r="25" spans="1:5" ht="14.25">
      <c r="A25" s="42" t="s">
        <v>212</v>
      </c>
      <c r="B25" s="75" t="s">
        <v>276</v>
      </c>
    </row>
    <row r="26" spans="1:5" ht="14.25">
      <c r="A26" s="2" t="s">
        <v>130</v>
      </c>
      <c r="B26" s="88" t="s">
        <v>275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9"/>
  <sheetViews>
    <sheetView workbookViewId="0">
      <selection sqref="A1:J29"/>
    </sheetView>
  </sheetViews>
  <sheetFormatPr defaultRowHeight="12.75"/>
  <cols>
    <col min="1" max="1" width="18" bestFit="1" customWidth="1"/>
    <col min="2" max="2" width="10.85546875" customWidth="1"/>
    <col min="3" max="4" width="12.42578125" bestFit="1" customWidth="1"/>
    <col min="5" max="7" width="11" customWidth="1"/>
    <col min="8" max="9" width="11" bestFit="1" customWidth="1"/>
    <col min="10" max="10" width="3.28515625" customWidth="1"/>
  </cols>
  <sheetData>
    <row r="1" spans="1:10">
      <c r="D1" t="s">
        <v>140</v>
      </c>
      <c r="F1" s="48" t="s">
        <v>282</v>
      </c>
    </row>
    <row r="2" spans="1:10">
      <c r="A2" s="44" t="s">
        <v>233</v>
      </c>
      <c r="B2" s="44"/>
      <c r="C2" s="44"/>
      <c r="D2" s="44"/>
      <c r="E2" s="44"/>
      <c r="F2" s="44"/>
      <c r="G2" s="44"/>
      <c r="H2" s="44"/>
      <c r="I2" s="44"/>
    </row>
    <row r="3" spans="1:10" ht="18.75">
      <c r="A3" s="71" t="s">
        <v>221</v>
      </c>
      <c r="B3" s="71"/>
      <c r="C3" s="71"/>
      <c r="D3" s="71"/>
      <c r="E3" s="71" t="s">
        <v>140</v>
      </c>
      <c r="F3" s="71"/>
      <c r="G3" s="71"/>
      <c r="H3" s="71"/>
      <c r="I3" s="71"/>
    </row>
    <row r="4" spans="1:10" ht="15">
      <c r="B4" s="72" t="s">
        <v>222</v>
      </c>
      <c r="C4" s="72" t="s">
        <v>234</v>
      </c>
      <c r="D4" s="72" t="s">
        <v>235</v>
      </c>
      <c r="E4" s="72" t="s">
        <v>236</v>
      </c>
      <c r="F4" s="72" t="s">
        <v>237</v>
      </c>
      <c r="G4" s="72" t="s">
        <v>238</v>
      </c>
      <c r="H4" s="72" t="s">
        <v>239</v>
      </c>
      <c r="I4" s="72" t="s">
        <v>240</v>
      </c>
    </row>
    <row r="5" spans="1:10">
      <c r="A5" t="s">
        <v>136</v>
      </c>
      <c r="B5" s="4">
        <f>B10</f>
        <v>40</v>
      </c>
      <c r="C5" s="4">
        <f>C10+(C16*C11/C17)*(1-(C19/C10)^-C20)-C15*C19*(C19/C10)^-C20</f>
        <v>42.10174560546875</v>
      </c>
      <c r="D5" s="4">
        <f t="shared" ref="D5:I5" si="0">D10+(D16*D11/D17)*(1-(D19/D10)^-D20)-D15*D19*(D19/D10)^-D20</f>
        <v>47.106492014213629</v>
      </c>
      <c r="E5" s="4">
        <f t="shared" si="0"/>
        <v>46.339798559085096</v>
      </c>
      <c r="F5" s="4">
        <f t="shared" si="0"/>
        <v>45.241653866803432</v>
      </c>
      <c r="G5" s="4">
        <f t="shared" si="0"/>
        <v>44.356089318255748</v>
      </c>
      <c r="H5" s="4">
        <f t="shared" si="0"/>
        <v>43.084499487181645</v>
      </c>
      <c r="I5" s="4">
        <f t="shared" si="0"/>
        <v>42.0564253463792</v>
      </c>
      <c r="J5" t="s">
        <v>145</v>
      </c>
    </row>
    <row r="6" spans="1:10">
      <c r="A6" t="s">
        <v>224</v>
      </c>
      <c r="B6" s="4">
        <f>B11/C17</f>
        <v>66.666666666666671</v>
      </c>
      <c r="C6" s="4">
        <f>(C11/C17)+((1-C15)*C19-(C11/C17))*(C10^C20)*C19^-C20</f>
        <v>39.624328613281222</v>
      </c>
      <c r="D6" s="4">
        <f t="shared" ref="D6:I6" si="1">(D11/D17)+((1-D15)*D19-(D11/D17))*(D10^D20)*D19^-D20</f>
        <v>44.810623543028541</v>
      </c>
      <c r="E6" s="4">
        <f t="shared" si="1"/>
        <v>43.990730015676121</v>
      </c>
      <c r="F6" s="4">
        <f t="shared" si="1"/>
        <v>42.833316471238049</v>
      </c>
      <c r="G6" s="4">
        <f t="shared" si="1"/>
        <v>41.913739690478522</v>
      </c>
      <c r="H6" s="4">
        <f t="shared" si="1"/>
        <v>40.613606832041555</v>
      </c>
      <c r="I6" s="4">
        <f t="shared" si="1"/>
        <v>39.579022001550548</v>
      </c>
      <c r="J6" t="s">
        <v>230</v>
      </c>
    </row>
    <row r="7" spans="1:10">
      <c r="A7" t="s">
        <v>225</v>
      </c>
      <c r="B7" s="4">
        <f>B5-B6</f>
        <v>-26.666666666666671</v>
      </c>
      <c r="C7" s="4">
        <f>C10-(1-C16)*(C11/C17)+((1-C16)*(C11/C17)-C19)*((C19/C10)^-C20)</f>
        <v>2.4774169921875</v>
      </c>
      <c r="D7" s="4">
        <f t="shared" ref="D7:I7" si="2">D10-(1-D16)*(D11/D17)+((1-D16)*(D11/D17)-D19)*((D19/D10)^-D20)</f>
        <v>2.2958684711850905</v>
      </c>
      <c r="E7" s="4">
        <f t="shared" si="2"/>
        <v>2.3490685434089658</v>
      </c>
      <c r="F7" s="4">
        <f t="shared" si="2"/>
        <v>2.4083373955653746</v>
      </c>
      <c r="G7" s="50">
        <f t="shared" si="2"/>
        <v>2.442349627777233</v>
      </c>
      <c r="H7" s="4">
        <f t="shared" si="2"/>
        <v>2.4708926551401147</v>
      </c>
      <c r="I7" s="4">
        <f t="shared" si="2"/>
        <v>2.4774033448286747</v>
      </c>
      <c r="J7" t="s">
        <v>231</v>
      </c>
    </row>
    <row r="8" spans="1:10">
      <c r="B8" s="4"/>
      <c r="C8" s="21" t="s">
        <v>241</v>
      </c>
      <c r="D8" s="21" t="s">
        <v>242</v>
      </c>
      <c r="E8" s="21" t="s">
        <v>243</v>
      </c>
      <c r="F8" s="21" t="s">
        <v>243</v>
      </c>
      <c r="G8" s="21" t="s">
        <v>243</v>
      </c>
      <c r="H8" s="21" t="s">
        <v>243</v>
      </c>
      <c r="I8" s="21" t="s">
        <v>243</v>
      </c>
    </row>
    <row r="9" spans="1:10" ht="15">
      <c r="A9" s="4" t="s">
        <v>244</v>
      </c>
      <c r="C9" s="76">
        <f>C7</f>
        <v>2.4774169921875</v>
      </c>
      <c r="D9" s="76">
        <f t="shared" ref="D9:I9" si="3">(1-D23)*D7</f>
        <v>2.2958684711850905</v>
      </c>
      <c r="E9" s="76">
        <f t="shared" si="3"/>
        <v>2.325577857974876</v>
      </c>
      <c r="F9" s="76">
        <f t="shared" si="3"/>
        <v>2.3601706476540669</v>
      </c>
      <c r="G9" s="76">
        <f t="shared" si="3"/>
        <v>2.3690791389439161</v>
      </c>
      <c r="H9" s="76">
        <f t="shared" si="3"/>
        <v>2.3720569489345098</v>
      </c>
      <c r="I9" s="76">
        <f t="shared" si="3"/>
        <v>2.353533177587241</v>
      </c>
    </row>
    <row r="10" spans="1:10">
      <c r="A10" t="s">
        <v>227</v>
      </c>
      <c r="B10" s="4">
        <v>40</v>
      </c>
      <c r="C10" s="4">
        <f t="shared" ref="C10:D12" si="4">B10</f>
        <v>40</v>
      </c>
      <c r="D10" s="4">
        <f t="shared" si="4"/>
        <v>40</v>
      </c>
      <c r="E10" s="4">
        <f t="shared" ref="E10:I14" si="5">D10</f>
        <v>40</v>
      </c>
      <c r="F10" s="4">
        <f t="shared" si="5"/>
        <v>40</v>
      </c>
      <c r="G10" s="4">
        <f t="shared" ref="G10:I12" si="6">B10</f>
        <v>40</v>
      </c>
      <c r="H10" s="4">
        <f t="shared" si="6"/>
        <v>40</v>
      </c>
      <c r="I10" s="4">
        <f t="shared" si="6"/>
        <v>40</v>
      </c>
    </row>
    <row r="11" spans="1:10">
      <c r="A11" t="s">
        <v>228</v>
      </c>
      <c r="B11" s="4">
        <v>4</v>
      </c>
      <c r="C11" s="4">
        <f t="shared" si="4"/>
        <v>4</v>
      </c>
      <c r="D11" s="4">
        <f t="shared" si="4"/>
        <v>4</v>
      </c>
      <c r="E11" s="4">
        <f t="shared" si="5"/>
        <v>4</v>
      </c>
      <c r="F11" s="4">
        <f t="shared" si="5"/>
        <v>4</v>
      </c>
      <c r="G11" s="4">
        <f t="shared" si="6"/>
        <v>4</v>
      </c>
      <c r="H11" s="4">
        <f t="shared" si="6"/>
        <v>4</v>
      </c>
      <c r="I11" s="4">
        <f t="shared" si="6"/>
        <v>4</v>
      </c>
    </row>
    <row r="12" spans="1:10">
      <c r="A12" t="s">
        <v>229</v>
      </c>
      <c r="B12" s="4">
        <f>B11/C17</f>
        <v>66.666666666666671</v>
      </c>
      <c r="C12" s="4">
        <f t="shared" si="4"/>
        <v>66.666666666666671</v>
      </c>
      <c r="D12" s="4">
        <f t="shared" si="4"/>
        <v>66.666666666666671</v>
      </c>
      <c r="E12" s="4">
        <f t="shared" si="5"/>
        <v>66.666666666666671</v>
      </c>
      <c r="F12" s="4">
        <f t="shared" si="5"/>
        <v>66.666666666666671</v>
      </c>
      <c r="G12" s="4">
        <f t="shared" si="6"/>
        <v>66.666666666666671</v>
      </c>
      <c r="H12" s="4">
        <f t="shared" si="6"/>
        <v>66.666666666666671</v>
      </c>
      <c r="I12" s="4">
        <f t="shared" si="6"/>
        <v>66.666666666666671</v>
      </c>
    </row>
    <row r="13" spans="1:10" ht="15.75">
      <c r="A13" s="2" t="s">
        <v>187</v>
      </c>
      <c r="C13" s="4">
        <v>0</v>
      </c>
      <c r="D13" s="91">
        <f>C13</f>
        <v>0</v>
      </c>
      <c r="E13" s="91">
        <f t="shared" si="5"/>
        <v>0</v>
      </c>
      <c r="F13" s="91">
        <f t="shared" si="5"/>
        <v>0</v>
      </c>
      <c r="G13" s="91">
        <f t="shared" si="5"/>
        <v>0</v>
      </c>
      <c r="H13" s="91">
        <f t="shared" si="5"/>
        <v>0</v>
      </c>
      <c r="I13" s="91">
        <f t="shared" si="5"/>
        <v>0</v>
      </c>
    </row>
    <row r="14" spans="1:10" ht="15.75">
      <c r="A14" s="73" t="s">
        <v>3</v>
      </c>
      <c r="C14" s="74">
        <v>0.2</v>
      </c>
      <c r="D14" s="91">
        <f>C14</f>
        <v>0.2</v>
      </c>
      <c r="E14" s="91">
        <f t="shared" si="5"/>
        <v>0.2</v>
      </c>
      <c r="F14" s="91">
        <f t="shared" si="5"/>
        <v>0.2</v>
      </c>
      <c r="G14" s="91">
        <f t="shared" si="5"/>
        <v>0.2</v>
      </c>
      <c r="H14" s="91">
        <f t="shared" si="5"/>
        <v>0.2</v>
      </c>
      <c r="I14" s="91">
        <f t="shared" si="5"/>
        <v>0.2</v>
      </c>
    </row>
    <row r="15" spans="1:10" ht="15.75">
      <c r="A15" s="2" t="s">
        <v>141</v>
      </c>
      <c r="C15" s="4">
        <v>0.5</v>
      </c>
      <c r="D15" s="91">
        <f t="shared" ref="D15:I17" si="7">C15</f>
        <v>0.5</v>
      </c>
      <c r="E15" s="91">
        <f t="shared" si="7"/>
        <v>0.5</v>
      </c>
      <c r="F15" s="91">
        <f t="shared" si="7"/>
        <v>0.5</v>
      </c>
      <c r="G15" s="91">
        <f t="shared" si="7"/>
        <v>0.5</v>
      </c>
      <c r="H15" s="91">
        <f t="shared" si="7"/>
        <v>0.5</v>
      </c>
      <c r="I15" s="91">
        <f t="shared" si="7"/>
        <v>0.5</v>
      </c>
    </row>
    <row r="16" spans="1:10" ht="15.75">
      <c r="A16" s="2" t="s">
        <v>137</v>
      </c>
      <c r="C16" s="4">
        <v>0.35</v>
      </c>
      <c r="D16" s="91">
        <f t="shared" si="7"/>
        <v>0.35</v>
      </c>
      <c r="E16" s="91">
        <f t="shared" si="7"/>
        <v>0.35</v>
      </c>
      <c r="F16" s="91">
        <f t="shared" si="7"/>
        <v>0.35</v>
      </c>
      <c r="G16" s="91">
        <f t="shared" si="7"/>
        <v>0.35</v>
      </c>
      <c r="H16" s="91">
        <f t="shared" si="7"/>
        <v>0.35</v>
      </c>
      <c r="I16" s="91">
        <f t="shared" si="7"/>
        <v>0.35</v>
      </c>
    </row>
    <row r="17" spans="1:9" ht="15.75">
      <c r="A17" s="42" t="s">
        <v>211</v>
      </c>
      <c r="C17" s="4">
        <v>0.06</v>
      </c>
      <c r="D17" s="91">
        <f t="shared" si="7"/>
        <v>0.06</v>
      </c>
      <c r="E17" s="91">
        <f t="shared" si="7"/>
        <v>0.06</v>
      </c>
      <c r="F17" s="91">
        <f t="shared" si="7"/>
        <v>0.06</v>
      </c>
      <c r="G17" s="91">
        <f t="shared" si="7"/>
        <v>0.06</v>
      </c>
      <c r="H17" s="91">
        <f t="shared" si="7"/>
        <v>0.06</v>
      </c>
      <c r="I17" s="91">
        <f t="shared" si="7"/>
        <v>0.06</v>
      </c>
    </row>
    <row r="18" spans="1:9">
      <c r="A18" s="42" t="s">
        <v>150</v>
      </c>
      <c r="D18" s="50" t="s">
        <v>140</v>
      </c>
    </row>
    <row r="19" spans="1:9" ht="14.25">
      <c r="A19" s="42" t="s">
        <v>245</v>
      </c>
      <c r="C19" s="4">
        <f>(1-C16)*(C11/C17)*(-C20/(-C20+1))</f>
        <v>32.5</v>
      </c>
      <c r="D19" s="50">
        <f t="shared" ref="D19:I19" si="8">$B$6/D22</f>
        <v>30.03003003003003</v>
      </c>
      <c r="E19" s="4">
        <f t="shared" si="8"/>
        <v>30.441400304414007</v>
      </c>
      <c r="F19" s="4">
        <f t="shared" si="8"/>
        <v>31.007751937984498</v>
      </c>
      <c r="G19" s="4">
        <f t="shared" si="8"/>
        <v>31.446540880503147</v>
      </c>
      <c r="H19" s="4">
        <f t="shared" si="8"/>
        <v>32.051282051282051</v>
      </c>
      <c r="I19" s="4">
        <f t="shared" si="8"/>
        <v>32.520325203252035</v>
      </c>
    </row>
    <row r="20" spans="1:9" ht="14.25">
      <c r="A20" s="2" t="s">
        <v>130</v>
      </c>
      <c r="C20" s="53">
        <f>(0.5-(C17-C13)/(C14^2)-SQRT((0.5-(C17-C13)/(C14^2))^2+2*C17/(C14^2)))</f>
        <v>-2.9999999999999991</v>
      </c>
      <c r="D20" s="53">
        <f t="shared" ref="D20:I20" si="9">(0.5-(D17-D13)/(D14^2)-SQRT((0.5-(D17-D13)/(D14^2))^2+2*D17/(D14^2)))</f>
        <v>-2.9999999999999991</v>
      </c>
      <c r="E20" s="53">
        <f t="shared" si="9"/>
        <v>-2.9999999999999991</v>
      </c>
      <c r="F20" s="53">
        <f t="shared" si="9"/>
        <v>-2.9999999999999991</v>
      </c>
      <c r="G20" s="53">
        <f t="shared" si="9"/>
        <v>-2.9999999999999991</v>
      </c>
      <c r="H20" s="53">
        <f t="shared" si="9"/>
        <v>-2.9999999999999991</v>
      </c>
      <c r="I20" s="53">
        <f t="shared" si="9"/>
        <v>-2.9999999999999991</v>
      </c>
    </row>
    <row r="21" spans="1:9" ht="18.75">
      <c r="A21" s="42" t="s">
        <v>283</v>
      </c>
      <c r="B21" s="77">
        <f>$B$12/B5</f>
        <v>1.6666666666666667</v>
      </c>
      <c r="C21" s="77">
        <f t="shared" ref="C21:I21" si="10">$B$12/C5</f>
        <v>1.5834656190124121</v>
      </c>
      <c r="D21" s="77">
        <f>$B$12/D5</f>
        <v>1.4152330987956199</v>
      </c>
      <c r="E21" s="77">
        <f t="shared" si="10"/>
        <v>1.438648175858253</v>
      </c>
      <c r="F21" s="77">
        <f t="shared" si="10"/>
        <v>1.4735682931252008</v>
      </c>
      <c r="G21" s="77">
        <f t="shared" si="10"/>
        <v>1.5029879254758489</v>
      </c>
      <c r="H21" s="77">
        <f t="shared" si="10"/>
        <v>1.5473468987727503</v>
      </c>
      <c r="I21" s="77">
        <f t="shared" si="10"/>
        <v>1.5851719711695911</v>
      </c>
    </row>
    <row r="22" spans="1:9">
      <c r="C22" s="42" t="s">
        <v>246</v>
      </c>
      <c r="D22" s="4">
        <v>2.2200000000000002</v>
      </c>
      <c r="E22" s="4">
        <v>2.19</v>
      </c>
      <c r="F22" s="4">
        <v>2.15</v>
      </c>
      <c r="G22" s="4">
        <v>2.12</v>
      </c>
      <c r="H22" s="4">
        <v>2.08</v>
      </c>
      <c r="I22" s="4">
        <v>2.0499999999999998</v>
      </c>
    </row>
    <row r="23" spans="1:9">
      <c r="C23" s="78" t="s">
        <v>247</v>
      </c>
      <c r="D23">
        <v>0</v>
      </c>
      <c r="E23">
        <v>0.01</v>
      </c>
      <c r="F23">
        <f>E23+0.01</f>
        <v>0.02</v>
      </c>
      <c r="G23">
        <f>F23+0.01</f>
        <v>0.03</v>
      </c>
      <c r="H23">
        <f>G23+0.01</f>
        <v>0.04</v>
      </c>
      <c r="I23">
        <f>H23+0.01</f>
        <v>0.05</v>
      </c>
    </row>
    <row r="24" spans="1:9">
      <c r="A24" s="42" t="s">
        <v>248</v>
      </c>
      <c r="B24" s="4">
        <f>$B$6-(1-C15)*B10</f>
        <v>46.666666666666671</v>
      </c>
      <c r="C24" s="50">
        <f>$B$6-C6</f>
        <v>27.04233805338545</v>
      </c>
      <c r="D24" s="50">
        <f t="shared" ref="D24:I24" si="11">$B$6-D6+D23*D7</f>
        <v>21.856043123638131</v>
      </c>
      <c r="E24" s="4">
        <f t="shared" si="11"/>
        <v>22.699427336424641</v>
      </c>
      <c r="F24" s="4">
        <f t="shared" si="11"/>
        <v>23.881516943339928</v>
      </c>
      <c r="G24" s="4">
        <f t="shared" si="11"/>
        <v>24.826197465021465</v>
      </c>
      <c r="H24" s="4">
        <f t="shared" si="11"/>
        <v>26.151895540830722</v>
      </c>
      <c r="I24" s="4">
        <f t="shared" si="11"/>
        <v>27.211514832357558</v>
      </c>
    </row>
    <row r="25" spans="1:9" ht="15">
      <c r="A25" s="42" t="s">
        <v>249</v>
      </c>
      <c r="C25" s="76">
        <f t="shared" ref="C25:I25" si="12">C24-$B$24</f>
        <v>-19.624328613281222</v>
      </c>
      <c r="D25" s="76">
        <f t="shared" si="12"/>
        <v>-24.810623543028541</v>
      </c>
      <c r="E25" s="76">
        <f t="shared" si="12"/>
        <v>-23.96723933024203</v>
      </c>
      <c r="F25" s="76">
        <f t="shared" si="12"/>
        <v>-22.785149723326743</v>
      </c>
      <c r="G25" s="76">
        <f t="shared" si="12"/>
        <v>-21.840469201645206</v>
      </c>
      <c r="H25" s="76">
        <f t="shared" si="12"/>
        <v>-20.514771125835949</v>
      </c>
      <c r="I25" s="76">
        <f t="shared" si="12"/>
        <v>-19.455151834309113</v>
      </c>
    </row>
    <row r="26" spans="1:9" ht="15">
      <c r="A26" s="42" t="s">
        <v>283</v>
      </c>
      <c r="C26" s="76"/>
      <c r="D26" s="92" t="s">
        <v>287</v>
      </c>
      <c r="E26" s="76"/>
      <c r="F26" s="76"/>
      <c r="G26" s="76"/>
      <c r="H26" s="76"/>
      <c r="I26" s="76"/>
    </row>
    <row r="27" spans="1:9" ht="14.25">
      <c r="A27" s="42" t="s">
        <v>245</v>
      </c>
      <c r="D27" s="50" t="s">
        <v>284</v>
      </c>
    </row>
    <row r="28" spans="1:9">
      <c r="A28" s="42" t="s">
        <v>248</v>
      </c>
      <c r="C28" s="50" t="s">
        <v>280</v>
      </c>
      <c r="D28" s="50" t="s">
        <v>285</v>
      </c>
    </row>
    <row r="29" spans="1:9" ht="15">
      <c r="A29" s="42" t="s">
        <v>249</v>
      </c>
      <c r="C29" s="76" t="s">
        <v>286</v>
      </c>
    </row>
  </sheetData>
  <printOptions headings="1"/>
  <pageMargins left="0.7" right="0.7" top="0.75" bottom="0.75" header="0.3" footer="0.3"/>
  <pageSetup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E26"/>
  <sheetViews>
    <sheetView workbookViewId="0"/>
  </sheetViews>
  <sheetFormatPr defaultRowHeight="12.75"/>
  <cols>
    <col min="1" max="1" width="10.28515625" bestFit="1" customWidth="1"/>
    <col min="2" max="2" width="10.85546875" bestFit="1" customWidth="1"/>
    <col min="4" max="4" width="33.28515625" bestFit="1" customWidth="1"/>
  </cols>
  <sheetData>
    <row r="1" spans="1:5">
      <c r="B1" s="48" t="s">
        <v>219</v>
      </c>
    </row>
    <row r="2" spans="1:5">
      <c r="B2" s="59" t="s">
        <v>281</v>
      </c>
      <c r="C2" s="44"/>
    </row>
    <row r="3" spans="1:5" ht="18.75">
      <c r="A3" s="71" t="s">
        <v>221</v>
      </c>
      <c r="B3" s="71"/>
      <c r="C3" s="71"/>
    </row>
    <row r="4" spans="1:5" ht="15">
      <c r="B4" s="72" t="s">
        <v>222</v>
      </c>
      <c r="C4" s="72" t="s">
        <v>223</v>
      </c>
    </row>
    <row r="5" spans="1:5">
      <c r="A5" t="s">
        <v>136</v>
      </c>
      <c r="B5" s="4">
        <f>B10</f>
        <v>100</v>
      </c>
      <c r="C5" s="50">
        <f>C10+(C16*C11/C17)*(1-(C19/C10)^-C20)-C15*C19*(C19/C10)^-C20</f>
        <v>92.96875</v>
      </c>
      <c r="E5">
        <v>10.7</v>
      </c>
    </row>
    <row r="6" spans="1:5">
      <c r="A6" t="s">
        <v>224</v>
      </c>
      <c r="B6" s="4">
        <f>B11/C17</f>
        <v>75</v>
      </c>
      <c r="C6" s="46">
        <f>(C11/C17)+((1-C15)*C19-(C11/C17))*(C19/C10)^-C20</f>
        <v>53.90625</v>
      </c>
      <c r="E6">
        <v>10.6</v>
      </c>
    </row>
    <row r="7" spans="1:5">
      <c r="A7" t="s">
        <v>225</v>
      </c>
      <c r="B7" s="4">
        <f>B5-B6</f>
        <v>25</v>
      </c>
      <c r="C7" s="46">
        <f>C10-(1-C16)*(C11/C17)+((1-C16)*(C11/C17)-C19)*((C19/C10)^-C20)</f>
        <v>39.0625</v>
      </c>
      <c r="E7">
        <v>10.8</v>
      </c>
    </row>
    <row r="8" spans="1:5">
      <c r="B8" s="4"/>
    </row>
    <row r="9" spans="1:5">
      <c r="A9" t="s">
        <v>148</v>
      </c>
      <c r="B9" s="4" t="s">
        <v>226</v>
      </c>
    </row>
    <row r="10" spans="1:5">
      <c r="A10" t="s">
        <v>227</v>
      </c>
      <c r="B10" s="4">
        <v>100</v>
      </c>
      <c r="C10" s="4">
        <f>B10</f>
        <v>100</v>
      </c>
    </row>
    <row r="11" spans="1:5">
      <c r="A11" t="s">
        <v>228</v>
      </c>
      <c r="B11" s="4">
        <v>3</v>
      </c>
      <c r="C11" s="4">
        <f>B11</f>
        <v>3</v>
      </c>
    </row>
    <row r="12" spans="1:5">
      <c r="A12" t="s">
        <v>229</v>
      </c>
      <c r="B12" s="4">
        <f>B11/C17</f>
        <v>75</v>
      </c>
      <c r="C12" s="4">
        <f>B12</f>
        <v>75</v>
      </c>
    </row>
    <row r="13" spans="1:5">
      <c r="A13" s="2" t="s">
        <v>187</v>
      </c>
      <c r="C13" s="4">
        <v>0.04</v>
      </c>
    </row>
    <row r="14" spans="1:5" ht="15">
      <c r="A14" s="73" t="s">
        <v>3</v>
      </c>
      <c r="C14" s="74">
        <v>0.2</v>
      </c>
    </row>
    <row r="15" spans="1:5">
      <c r="A15" s="2" t="s">
        <v>141</v>
      </c>
      <c r="C15" s="4">
        <v>0.5</v>
      </c>
    </row>
    <row r="16" spans="1:5">
      <c r="A16" s="2" t="s">
        <v>137</v>
      </c>
      <c r="C16" s="4">
        <v>0</v>
      </c>
    </row>
    <row r="17" spans="1:5">
      <c r="A17" s="42" t="s">
        <v>211</v>
      </c>
      <c r="C17" s="4">
        <v>0.04</v>
      </c>
    </row>
    <row r="18" spans="1:5">
      <c r="A18" s="42" t="s">
        <v>150</v>
      </c>
    </row>
    <row r="19" spans="1:5" ht="14.25">
      <c r="A19" s="42" t="s">
        <v>212</v>
      </c>
      <c r="C19" s="46">
        <f>(1-C16)*(C11/C17)*(-C20/(-C20+1))</f>
        <v>37.499999999999993</v>
      </c>
      <c r="E19">
        <v>10.9</v>
      </c>
    </row>
    <row r="20" spans="1:5" ht="14.25">
      <c r="A20" s="2" t="s">
        <v>130</v>
      </c>
      <c r="C20" s="53">
        <f>(0.5-(C17-C13)/(C14^2)-SQRT((0.5-(C17-C13)/(C14^2))^2+2*C17/(C14^2)))</f>
        <v>-0.99999999999999978</v>
      </c>
      <c r="E20">
        <v>10.5</v>
      </c>
    </row>
    <row r="22" spans="1:5">
      <c r="A22" s="42" t="s">
        <v>145</v>
      </c>
      <c r="B22" s="14" t="s">
        <v>277</v>
      </c>
    </row>
    <row r="23" spans="1:5">
      <c r="A23" s="42" t="s">
        <v>230</v>
      </c>
      <c r="B23" s="14" t="s">
        <v>278</v>
      </c>
    </row>
    <row r="24" spans="1:5">
      <c r="A24" s="42" t="s">
        <v>231</v>
      </c>
      <c r="B24" s="14" t="s">
        <v>279</v>
      </c>
    </row>
    <row r="25" spans="1:5" ht="14.25">
      <c r="A25" s="42" t="s">
        <v>212</v>
      </c>
      <c r="B25" s="75" t="s">
        <v>276</v>
      </c>
    </row>
    <row r="26" spans="1:5" ht="14.25">
      <c r="A26" s="2" t="s">
        <v>130</v>
      </c>
      <c r="B26" s="88" t="s">
        <v>275</v>
      </c>
    </row>
  </sheetData>
  <printOptions horizontalCentered="1" headings="1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0699-4147-46EF-8CE8-AB6380AFE58D}">
  <dimension ref="A1:C25"/>
  <sheetViews>
    <sheetView workbookViewId="0">
      <selection activeCell="D22" sqref="D22"/>
    </sheetView>
  </sheetViews>
  <sheetFormatPr defaultRowHeight="12.75"/>
  <cols>
    <col min="1" max="1" width="10.28515625" bestFit="1" customWidth="1"/>
    <col min="3" max="3" width="64.28515625" bestFit="1" customWidth="1"/>
  </cols>
  <sheetData>
    <row r="1" spans="1:3" ht="15.75">
      <c r="A1" s="134" t="s">
        <v>423</v>
      </c>
      <c r="B1" s="134"/>
      <c r="C1" s="134"/>
    </row>
    <row r="2" spans="1:3">
      <c r="A2" t="s">
        <v>0</v>
      </c>
      <c r="B2" s="4">
        <v>100</v>
      </c>
      <c r="C2" s="4" t="s">
        <v>140</v>
      </c>
    </row>
    <row r="3" spans="1:3">
      <c r="A3" t="s">
        <v>132</v>
      </c>
      <c r="B3" s="4">
        <f>B8/B9</f>
        <v>50</v>
      </c>
      <c r="C3" s="4" t="s">
        <v>424</v>
      </c>
    </row>
    <row r="4" spans="1:3">
      <c r="A4" t="s">
        <v>425</v>
      </c>
      <c r="B4" s="4">
        <f>B2-B3</f>
        <v>50</v>
      </c>
      <c r="C4" s="4" t="s">
        <v>426</v>
      </c>
    </row>
    <row r="5" spans="1:3">
      <c r="A5" t="s">
        <v>145</v>
      </c>
      <c r="B5" s="50">
        <f>B2+(B12*B8/B13)*(1-(B19/B2)^-B20)-B11*B19*(B19/B2)^-B20</f>
        <v>96.875</v>
      </c>
      <c r="C5" s="50" t="s">
        <v>427</v>
      </c>
    </row>
    <row r="6" spans="1:3">
      <c r="A6" t="s">
        <v>428</v>
      </c>
      <c r="B6" s="4">
        <f>(B8/B13)+((1-B11)*B19-(B8/B13))*(B19/B2)^-B20</f>
        <v>40.625</v>
      </c>
      <c r="C6" s="4" t="s">
        <v>429</v>
      </c>
    </row>
    <row r="7" spans="1:3">
      <c r="A7" t="s">
        <v>231</v>
      </c>
      <c r="B7" s="4">
        <f>B5-B6</f>
        <v>56.25</v>
      </c>
      <c r="C7" s="4" t="s">
        <v>430</v>
      </c>
    </row>
    <row r="8" spans="1:3">
      <c r="A8" t="s">
        <v>131</v>
      </c>
      <c r="B8" s="4">
        <f>[5]ODE!B5</f>
        <v>2</v>
      </c>
      <c r="C8" s="4" t="s">
        <v>140</v>
      </c>
    </row>
    <row r="9" spans="1:3">
      <c r="A9" s="2" t="s">
        <v>187</v>
      </c>
      <c r="B9" s="4">
        <f>[5]ODE!B7</f>
        <v>0.04</v>
      </c>
      <c r="C9" s="4" t="s">
        <v>140</v>
      </c>
    </row>
    <row r="10" spans="1:3">
      <c r="A10" s="2" t="s">
        <v>3</v>
      </c>
      <c r="B10" s="4">
        <f>[5]ODE!B9</f>
        <v>0.2</v>
      </c>
      <c r="C10" s="4" t="s">
        <v>140</v>
      </c>
    </row>
    <row r="11" spans="1:3">
      <c r="A11" s="2" t="s">
        <v>141</v>
      </c>
      <c r="B11" s="4">
        <f>[5]ODE!B10</f>
        <v>0.5</v>
      </c>
      <c r="C11" s="4" t="s">
        <v>140</v>
      </c>
    </row>
    <row r="12" spans="1:3">
      <c r="A12" s="2" t="s">
        <v>137</v>
      </c>
      <c r="B12" s="4">
        <f>[5]ODE!B11</f>
        <v>0</v>
      </c>
      <c r="C12" s="4" t="s">
        <v>140</v>
      </c>
    </row>
    <row r="13" spans="1:3">
      <c r="A13" s="42" t="s">
        <v>211</v>
      </c>
      <c r="B13" s="4">
        <f>[5]ODE!B12</f>
        <v>0.04</v>
      </c>
      <c r="C13" s="4" t="s">
        <v>140</v>
      </c>
    </row>
    <row r="14" spans="1:3">
      <c r="A14" s="42" t="s">
        <v>431</v>
      </c>
      <c r="B14" s="4">
        <v>100</v>
      </c>
      <c r="C14" s="4" t="s">
        <v>140</v>
      </c>
    </row>
    <row r="15" spans="1:3">
      <c r="A15" s="42" t="s">
        <v>432</v>
      </c>
      <c r="B15" s="4">
        <f>B4/B14</f>
        <v>0.5</v>
      </c>
      <c r="C15" s="4" t="s">
        <v>433</v>
      </c>
    </row>
    <row r="16" spans="1:3">
      <c r="A16" s="42" t="s">
        <v>434</v>
      </c>
      <c r="B16" s="4">
        <f>B7/B14</f>
        <v>0.5625</v>
      </c>
      <c r="C16" s="4" t="s">
        <v>435</v>
      </c>
    </row>
    <row r="17" spans="1:3">
      <c r="A17" s="42" t="s">
        <v>436</v>
      </c>
      <c r="B17" s="4">
        <v>0.25</v>
      </c>
      <c r="C17" s="4" t="s">
        <v>140</v>
      </c>
    </row>
    <row r="18" spans="1:3">
      <c r="A18" s="42" t="s">
        <v>437</v>
      </c>
      <c r="B18" s="4">
        <f>B17*B14</f>
        <v>25</v>
      </c>
      <c r="C18" s="4" t="s">
        <v>438</v>
      </c>
    </row>
    <row r="19" spans="1:3" ht="14.25">
      <c r="A19" s="42" t="s">
        <v>212</v>
      </c>
      <c r="B19" s="4">
        <f>(1-B12)*(B8/B13)*(-B20/(-B20+1))</f>
        <v>24.999999999999996</v>
      </c>
      <c r="C19" s="4" t="s">
        <v>439</v>
      </c>
    </row>
    <row r="20" spans="1:3" ht="14.25">
      <c r="A20" s="2" t="s">
        <v>130</v>
      </c>
      <c r="B20" s="53">
        <f>(0.5-(B13-B9)/(B10^2)-SQRT((0.5-(B13-B9)/(B10^2))^2+2*B13/(B10^2)))</f>
        <v>-0.99999999999999978</v>
      </c>
      <c r="C20" s="53" t="s">
        <v>325</v>
      </c>
    </row>
    <row r="21" spans="1:3">
      <c r="A21" s="42" t="s">
        <v>440</v>
      </c>
      <c r="B21" s="135">
        <f>B17/B15</f>
        <v>0.5</v>
      </c>
      <c r="C21" s="135" t="s">
        <v>441</v>
      </c>
    </row>
    <row r="22" spans="1:3">
      <c r="A22" s="42" t="s">
        <v>442</v>
      </c>
      <c r="B22" s="135">
        <f>B17/B16</f>
        <v>0.44444444444444442</v>
      </c>
      <c r="C22" s="135" t="s">
        <v>443</v>
      </c>
    </row>
    <row r="23" spans="1:3">
      <c r="A23" s="42" t="s">
        <v>444</v>
      </c>
      <c r="B23" s="135">
        <f>B3/B2</f>
        <v>0.5</v>
      </c>
      <c r="C23" s="135" t="s">
        <v>445</v>
      </c>
    </row>
    <row r="24" spans="1:3">
      <c r="A24" s="42" t="s">
        <v>446</v>
      </c>
      <c r="B24" s="135">
        <f>B3/B5</f>
        <v>0.5161290322580645</v>
      </c>
      <c r="C24" s="135" t="s">
        <v>447</v>
      </c>
    </row>
    <row r="25" spans="1:3">
      <c r="A25" s="42" t="s">
        <v>448</v>
      </c>
      <c r="B25" s="135">
        <f>B6/B5</f>
        <v>0.41935483870967744</v>
      </c>
      <c r="C25" s="135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C7C6-CE86-453B-B032-58F475B85A74}">
  <sheetPr>
    <pageSetUpPr fitToPage="1"/>
  </sheetPr>
  <dimension ref="A1:N39"/>
  <sheetViews>
    <sheetView topLeftCell="A25" workbookViewId="0">
      <selection activeCell="A38" sqref="A1:N38"/>
    </sheetView>
  </sheetViews>
  <sheetFormatPr defaultRowHeight="12.75"/>
  <cols>
    <col min="1" max="1" width="15.7109375" bestFit="1" customWidth="1"/>
  </cols>
  <sheetData>
    <row r="1" spans="1:14" ht="18.75">
      <c r="A1" s="18" t="s">
        <v>293</v>
      </c>
      <c r="B1" s="18"/>
      <c r="C1" s="18"/>
      <c r="D1" s="18"/>
      <c r="E1" s="18"/>
      <c r="F1" s="18"/>
      <c r="G1" s="44"/>
      <c r="H1" s="44"/>
      <c r="I1" s="44"/>
      <c r="J1" s="44"/>
      <c r="K1" s="44"/>
      <c r="L1" s="44"/>
      <c r="M1" s="44"/>
      <c r="N1" s="44"/>
    </row>
    <row r="2" spans="1:14" ht="18.75">
      <c r="A2" s="18" t="s">
        <v>153</v>
      </c>
      <c r="B2" s="18"/>
      <c r="C2" s="18"/>
      <c r="D2" s="18"/>
      <c r="E2" s="18"/>
      <c r="F2" s="18"/>
      <c r="G2" s="44"/>
      <c r="H2" s="44"/>
      <c r="I2" s="44"/>
      <c r="J2" s="44"/>
      <c r="K2" s="44"/>
      <c r="L2" s="44"/>
      <c r="M2" s="44"/>
      <c r="N2" s="44"/>
    </row>
    <row r="3" spans="1:14">
      <c r="A3" s="17" t="s">
        <v>386</v>
      </c>
      <c r="B3" s="94">
        <v>0</v>
      </c>
      <c r="C3" s="94">
        <f>B3+25</f>
        <v>25</v>
      </c>
      <c r="D3" s="94">
        <f t="shared" ref="D3:N3" si="0">C3+25</f>
        <v>50</v>
      </c>
      <c r="E3" s="94">
        <f t="shared" si="0"/>
        <v>75</v>
      </c>
      <c r="F3" s="94">
        <f t="shared" si="0"/>
        <v>100</v>
      </c>
      <c r="G3" s="94">
        <f t="shared" si="0"/>
        <v>125</v>
      </c>
      <c r="H3" s="94">
        <f t="shared" si="0"/>
        <v>150</v>
      </c>
      <c r="I3" s="94">
        <f t="shared" si="0"/>
        <v>175</v>
      </c>
      <c r="J3" s="94">
        <f t="shared" si="0"/>
        <v>200</v>
      </c>
      <c r="K3" s="94">
        <f t="shared" si="0"/>
        <v>225</v>
      </c>
      <c r="L3" s="94">
        <f t="shared" si="0"/>
        <v>250</v>
      </c>
      <c r="M3" s="94">
        <f t="shared" si="0"/>
        <v>275</v>
      </c>
      <c r="N3" s="94">
        <f t="shared" si="0"/>
        <v>300</v>
      </c>
    </row>
    <row r="4" spans="1:14">
      <c r="A4" s="17" t="s">
        <v>390</v>
      </c>
      <c r="B4" s="94">
        <f>B34</f>
        <v>150</v>
      </c>
      <c r="C4" s="94">
        <f>B4</f>
        <v>150</v>
      </c>
      <c r="D4" s="94">
        <f t="shared" ref="D4:N7" si="1">C4</f>
        <v>150</v>
      </c>
      <c r="E4" s="94">
        <f t="shared" si="1"/>
        <v>150</v>
      </c>
      <c r="F4" s="94">
        <f t="shared" si="1"/>
        <v>150</v>
      </c>
      <c r="G4" s="94">
        <f t="shared" si="1"/>
        <v>150</v>
      </c>
      <c r="H4" s="94">
        <f t="shared" si="1"/>
        <v>150</v>
      </c>
      <c r="I4" s="94">
        <f t="shared" si="1"/>
        <v>150</v>
      </c>
      <c r="J4" s="94">
        <f t="shared" si="1"/>
        <v>150</v>
      </c>
      <c r="K4" s="94">
        <f t="shared" si="1"/>
        <v>150</v>
      </c>
      <c r="L4" s="94">
        <f t="shared" si="1"/>
        <v>150</v>
      </c>
      <c r="M4" s="94">
        <f t="shared" si="1"/>
        <v>150</v>
      </c>
      <c r="N4" s="94">
        <f t="shared" si="1"/>
        <v>150</v>
      </c>
    </row>
    <row r="5" spans="1:14">
      <c r="A5" s="7" t="s">
        <v>183</v>
      </c>
      <c r="B5" s="8">
        <v>0.04</v>
      </c>
      <c r="C5" s="8">
        <f>B5</f>
        <v>0.04</v>
      </c>
      <c r="D5" s="8">
        <f t="shared" si="1"/>
        <v>0.04</v>
      </c>
      <c r="E5" s="8">
        <f t="shared" si="1"/>
        <v>0.04</v>
      </c>
      <c r="F5" s="8">
        <f t="shared" si="1"/>
        <v>0.04</v>
      </c>
      <c r="G5" s="8">
        <f t="shared" si="1"/>
        <v>0.04</v>
      </c>
      <c r="H5" s="8">
        <f t="shared" si="1"/>
        <v>0.04</v>
      </c>
      <c r="I5" s="8">
        <f t="shared" si="1"/>
        <v>0.04</v>
      </c>
      <c r="J5" s="8">
        <f t="shared" si="1"/>
        <v>0.04</v>
      </c>
      <c r="K5" s="8">
        <f t="shared" si="1"/>
        <v>0.04</v>
      </c>
      <c r="L5" s="8">
        <f t="shared" si="1"/>
        <v>0.04</v>
      </c>
      <c r="M5" s="8">
        <f t="shared" si="1"/>
        <v>0.04</v>
      </c>
      <c r="N5" s="8">
        <f t="shared" si="1"/>
        <v>0.04</v>
      </c>
    </row>
    <row r="6" spans="1:14">
      <c r="A6" s="7" t="s">
        <v>149</v>
      </c>
      <c r="B6" s="8">
        <f>B36</f>
        <v>0.2</v>
      </c>
      <c r="C6" s="8">
        <f>B6</f>
        <v>0.2</v>
      </c>
      <c r="D6" s="8">
        <f t="shared" si="1"/>
        <v>0.2</v>
      </c>
      <c r="E6" s="8">
        <f t="shared" si="1"/>
        <v>0.2</v>
      </c>
      <c r="F6" s="8">
        <f t="shared" si="1"/>
        <v>0.2</v>
      </c>
      <c r="G6" s="8">
        <f t="shared" si="1"/>
        <v>0.2</v>
      </c>
      <c r="H6" s="8">
        <f t="shared" si="1"/>
        <v>0.2</v>
      </c>
      <c r="I6" s="8">
        <f t="shared" si="1"/>
        <v>0.2</v>
      </c>
      <c r="J6" s="8">
        <f t="shared" si="1"/>
        <v>0.2</v>
      </c>
      <c r="K6" s="8">
        <f t="shared" si="1"/>
        <v>0.2</v>
      </c>
      <c r="L6" s="8">
        <f t="shared" si="1"/>
        <v>0.2</v>
      </c>
      <c r="M6" s="8">
        <f t="shared" si="1"/>
        <v>0.2</v>
      </c>
      <c r="N6" s="8">
        <f t="shared" si="1"/>
        <v>0.2</v>
      </c>
    </row>
    <row r="7" spans="1:14">
      <c r="A7" s="11" t="s">
        <v>125</v>
      </c>
      <c r="B7" s="8">
        <f>B35</f>
        <v>0.04</v>
      </c>
      <c r="C7" s="8">
        <f>B7</f>
        <v>0.04</v>
      </c>
      <c r="D7" s="8">
        <f t="shared" si="1"/>
        <v>0.04</v>
      </c>
      <c r="E7" s="8">
        <f t="shared" si="1"/>
        <v>0.04</v>
      </c>
      <c r="F7" s="8">
        <f t="shared" si="1"/>
        <v>0.04</v>
      </c>
      <c r="G7" s="8">
        <f t="shared" si="1"/>
        <v>0.04</v>
      </c>
      <c r="H7" s="8">
        <f t="shared" si="1"/>
        <v>0.04</v>
      </c>
      <c r="I7" s="8">
        <f t="shared" si="1"/>
        <v>0.04</v>
      </c>
      <c r="J7" s="8">
        <f t="shared" si="1"/>
        <v>0.04</v>
      </c>
      <c r="K7" s="8">
        <f t="shared" si="1"/>
        <v>0.04</v>
      </c>
      <c r="L7" s="8">
        <f t="shared" si="1"/>
        <v>0.04</v>
      </c>
      <c r="M7" s="8">
        <f t="shared" si="1"/>
        <v>0.04</v>
      </c>
      <c r="N7" s="8">
        <f t="shared" si="1"/>
        <v>0.04</v>
      </c>
    </row>
    <row r="8" spans="1:14">
      <c r="A8" s="57" t="s">
        <v>294</v>
      </c>
      <c r="B8" s="95">
        <f>IF(B3&lt;B10,B9,(B4-B10)*((B3/B10)^B11))</f>
        <v>150</v>
      </c>
      <c r="C8" s="94">
        <f t="shared" ref="C8:N8" si="2">IF(C3&lt;C10,C9,(C4-C10)*((C3/C10)^C11))</f>
        <v>125</v>
      </c>
      <c r="D8" s="94">
        <f t="shared" si="2"/>
        <v>100</v>
      </c>
      <c r="E8" s="94">
        <f t="shared" si="2"/>
        <v>75</v>
      </c>
      <c r="F8" s="94">
        <f t="shared" si="2"/>
        <v>56.25</v>
      </c>
      <c r="G8" s="94">
        <f t="shared" si="2"/>
        <v>45.000000000000007</v>
      </c>
      <c r="H8" s="94">
        <f t="shared" si="2"/>
        <v>37.5</v>
      </c>
      <c r="I8" s="94">
        <f t="shared" si="2"/>
        <v>32.142857142857146</v>
      </c>
      <c r="J8" s="94">
        <f t="shared" si="2"/>
        <v>28.125000000000007</v>
      </c>
      <c r="K8" s="94">
        <f t="shared" si="2"/>
        <v>25.000000000000004</v>
      </c>
      <c r="L8" s="94">
        <f t="shared" si="2"/>
        <v>22.500000000000004</v>
      </c>
      <c r="M8" s="94">
        <f t="shared" si="2"/>
        <v>20.454545454545457</v>
      </c>
      <c r="N8" s="94">
        <f t="shared" si="2"/>
        <v>18.750000000000004</v>
      </c>
    </row>
    <row r="9" spans="1:14">
      <c r="A9" s="17" t="s">
        <v>295</v>
      </c>
      <c r="B9" s="95">
        <f>IF(B4-B3&gt;0,(B4-B3),0)</f>
        <v>150</v>
      </c>
      <c r="C9" s="94">
        <f t="shared" ref="C9:N9" si="3">IF(C4-C3&gt;0,(C4-C3),0)</f>
        <v>125</v>
      </c>
      <c r="D9" s="94">
        <f t="shared" si="3"/>
        <v>100</v>
      </c>
      <c r="E9" s="94">
        <f t="shared" si="3"/>
        <v>75</v>
      </c>
      <c r="F9" s="94">
        <f t="shared" si="3"/>
        <v>50</v>
      </c>
      <c r="G9" s="94">
        <f t="shared" si="3"/>
        <v>25</v>
      </c>
      <c r="H9" s="94">
        <f t="shared" si="3"/>
        <v>0</v>
      </c>
      <c r="I9" s="94">
        <f t="shared" si="3"/>
        <v>0</v>
      </c>
      <c r="J9" s="94">
        <f t="shared" si="3"/>
        <v>0</v>
      </c>
      <c r="K9" s="94">
        <f t="shared" si="3"/>
        <v>0</v>
      </c>
      <c r="L9" s="94">
        <f t="shared" si="3"/>
        <v>0</v>
      </c>
      <c r="M9" s="94">
        <f t="shared" si="3"/>
        <v>0</v>
      </c>
      <c r="N9" s="94">
        <f t="shared" si="3"/>
        <v>0</v>
      </c>
    </row>
    <row r="10" spans="1:14">
      <c r="A10" s="11" t="s">
        <v>145</v>
      </c>
      <c r="B10" s="95">
        <f>B4*B11/(B11-1)</f>
        <v>75</v>
      </c>
      <c r="C10" s="94">
        <f t="shared" ref="C10:N10" si="4">C4*C11/(C11-1)</f>
        <v>75</v>
      </c>
      <c r="D10" s="94">
        <f t="shared" si="4"/>
        <v>75</v>
      </c>
      <c r="E10" s="94">
        <f t="shared" si="4"/>
        <v>75</v>
      </c>
      <c r="F10" s="94">
        <f t="shared" si="4"/>
        <v>75</v>
      </c>
      <c r="G10" s="94">
        <f t="shared" si="4"/>
        <v>75</v>
      </c>
      <c r="H10" s="94">
        <f t="shared" si="4"/>
        <v>75</v>
      </c>
      <c r="I10" s="94">
        <f t="shared" si="4"/>
        <v>75</v>
      </c>
      <c r="J10" s="94">
        <f t="shared" si="4"/>
        <v>75</v>
      </c>
      <c r="K10" s="94">
        <f t="shared" si="4"/>
        <v>75</v>
      </c>
      <c r="L10" s="94">
        <f t="shared" si="4"/>
        <v>75</v>
      </c>
      <c r="M10" s="94">
        <f t="shared" si="4"/>
        <v>75</v>
      </c>
      <c r="N10" s="94">
        <f t="shared" si="4"/>
        <v>75</v>
      </c>
    </row>
    <row r="11" spans="1:14">
      <c r="A11" s="10" t="s">
        <v>267</v>
      </c>
      <c r="B11" s="25">
        <f>(B7-B5+(B6^2)/2-SQRT((B5-B7-(B6^2)/2)^2+2*B5*(B6^2)))/(B6^2)</f>
        <v>-0.99999999999999978</v>
      </c>
      <c r="C11" s="25">
        <f t="shared" ref="C11:N11" si="5">(C7-C5+(C6^2)/2-SQRT((C5-C7-(C6^2)/2)^2+2*C5*(C6^2)))/(C6^2)</f>
        <v>-0.99999999999999978</v>
      </c>
      <c r="D11" s="25">
        <f t="shared" si="5"/>
        <v>-0.99999999999999978</v>
      </c>
      <c r="E11" s="25">
        <f t="shared" si="5"/>
        <v>-0.99999999999999978</v>
      </c>
      <c r="F11" s="25">
        <f t="shared" si="5"/>
        <v>-0.99999999999999978</v>
      </c>
      <c r="G11" s="25">
        <f t="shared" si="5"/>
        <v>-0.99999999999999978</v>
      </c>
      <c r="H11" s="25">
        <f t="shared" si="5"/>
        <v>-0.99999999999999978</v>
      </c>
      <c r="I11" s="25">
        <f t="shared" si="5"/>
        <v>-0.99999999999999978</v>
      </c>
      <c r="J11" s="25">
        <f t="shared" si="5"/>
        <v>-0.99999999999999978</v>
      </c>
      <c r="K11" s="25">
        <f t="shared" si="5"/>
        <v>-0.99999999999999978</v>
      </c>
      <c r="L11" s="25">
        <f t="shared" si="5"/>
        <v>-0.99999999999999978</v>
      </c>
      <c r="M11" s="25">
        <f t="shared" si="5"/>
        <v>-0.99999999999999978</v>
      </c>
      <c r="N11" s="25">
        <f t="shared" si="5"/>
        <v>-0.99999999999999978</v>
      </c>
    </row>
    <row r="34" spans="1:2">
      <c r="A34" t="s">
        <v>181</v>
      </c>
      <c r="B34">
        <v>150</v>
      </c>
    </row>
    <row r="35" spans="1:2">
      <c r="A35" s="17" t="s">
        <v>135</v>
      </c>
      <c r="B35">
        <v>0.04</v>
      </c>
    </row>
    <row r="36" spans="1:2">
      <c r="A36" t="s">
        <v>149</v>
      </c>
      <c r="B36" s="4">
        <v>0.2</v>
      </c>
    </row>
    <row r="37" spans="1:2">
      <c r="A37" s="57" t="s">
        <v>294</v>
      </c>
      <c r="B37" s="95" t="s">
        <v>296</v>
      </c>
    </row>
    <row r="38" spans="1:2">
      <c r="A38" s="17" t="s">
        <v>295</v>
      </c>
      <c r="B38" s="95" t="s">
        <v>300</v>
      </c>
    </row>
    <row r="39" spans="1:2">
      <c r="A39" s="11" t="s">
        <v>145</v>
      </c>
      <c r="B39" s="95" t="s">
        <v>299</v>
      </c>
    </row>
  </sheetData>
  <printOptions horizontalCentered="1" headings="1"/>
  <pageMargins left="0.7" right="0.7" top="0.75" bottom="0.75" header="0.3" footer="0.3"/>
  <pageSetup scale="66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0"/>
  <sheetViews>
    <sheetView workbookViewId="0">
      <selection sqref="A1:N48"/>
    </sheetView>
  </sheetViews>
  <sheetFormatPr defaultRowHeight="12.75"/>
  <cols>
    <col min="1" max="1" width="31.140625" bestFit="1" customWidth="1"/>
    <col min="2" max="2" width="9.28515625" bestFit="1" customWidth="1"/>
    <col min="3" max="14" width="9.28515625" customWidth="1"/>
    <col min="15" max="15" width="45.28515625" bestFit="1" customWidth="1"/>
  </cols>
  <sheetData>
    <row r="1" spans="1:15" ht="15.75">
      <c r="A1" s="116" t="s">
        <v>392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3"/>
    </row>
    <row r="2" spans="1:15">
      <c r="B2" s="119" t="s">
        <v>391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1"/>
    </row>
    <row r="3" spans="1:15">
      <c r="A3" s="96" t="s">
        <v>389</v>
      </c>
      <c r="B3" s="95">
        <v>0</v>
      </c>
      <c r="C3" s="95">
        <f>B3+25</f>
        <v>25</v>
      </c>
      <c r="D3" s="95">
        <f t="shared" ref="D3:N3" si="0">C3+25</f>
        <v>50</v>
      </c>
      <c r="E3" s="95">
        <f t="shared" si="0"/>
        <v>75</v>
      </c>
      <c r="F3" s="95">
        <f t="shared" si="0"/>
        <v>100</v>
      </c>
      <c r="G3" s="95">
        <f t="shared" si="0"/>
        <v>125</v>
      </c>
      <c r="H3" s="95">
        <f t="shared" si="0"/>
        <v>150</v>
      </c>
      <c r="I3" s="95">
        <f t="shared" si="0"/>
        <v>175</v>
      </c>
      <c r="J3" s="95">
        <f t="shared" si="0"/>
        <v>200</v>
      </c>
      <c r="K3" s="95">
        <f t="shared" si="0"/>
        <v>225</v>
      </c>
      <c r="L3" s="95">
        <f t="shared" si="0"/>
        <v>250</v>
      </c>
      <c r="M3" s="95">
        <f t="shared" si="0"/>
        <v>275</v>
      </c>
      <c r="N3" s="95">
        <f t="shared" si="0"/>
        <v>300</v>
      </c>
      <c r="O3" s="11"/>
    </row>
    <row r="4" spans="1:15">
      <c r="A4" s="96" t="s">
        <v>376</v>
      </c>
      <c r="B4" s="95">
        <v>150</v>
      </c>
      <c r="C4" s="95">
        <f t="shared" ref="C4:C9" si="1">B4</f>
        <v>150</v>
      </c>
      <c r="D4" s="95">
        <f t="shared" ref="D4:N4" si="2">C4</f>
        <v>150</v>
      </c>
      <c r="E4" s="95">
        <f t="shared" si="2"/>
        <v>150</v>
      </c>
      <c r="F4" s="95">
        <f t="shared" si="2"/>
        <v>150</v>
      </c>
      <c r="G4" s="95">
        <f t="shared" si="2"/>
        <v>150</v>
      </c>
      <c r="H4" s="95">
        <f t="shared" si="2"/>
        <v>150</v>
      </c>
      <c r="I4" s="95">
        <f t="shared" si="2"/>
        <v>150</v>
      </c>
      <c r="J4" s="95">
        <f t="shared" si="2"/>
        <v>150</v>
      </c>
      <c r="K4" s="95">
        <f t="shared" si="2"/>
        <v>150</v>
      </c>
      <c r="L4" s="95">
        <f t="shared" si="2"/>
        <v>150</v>
      </c>
      <c r="M4" s="95">
        <f t="shared" si="2"/>
        <v>150</v>
      </c>
      <c r="N4" s="95">
        <f t="shared" si="2"/>
        <v>150</v>
      </c>
      <c r="O4" s="11"/>
    </row>
    <row r="5" spans="1:15">
      <c r="A5" s="96" t="s">
        <v>302</v>
      </c>
      <c r="B5" s="97">
        <v>0.04</v>
      </c>
      <c r="C5" s="97">
        <f t="shared" si="1"/>
        <v>0.04</v>
      </c>
      <c r="D5" s="97">
        <f t="shared" ref="D5:N5" si="3">C5</f>
        <v>0.04</v>
      </c>
      <c r="E5" s="97">
        <f t="shared" si="3"/>
        <v>0.04</v>
      </c>
      <c r="F5" s="97">
        <f t="shared" si="3"/>
        <v>0.04</v>
      </c>
      <c r="G5" s="97">
        <f t="shared" si="3"/>
        <v>0.04</v>
      </c>
      <c r="H5" s="97">
        <f t="shared" si="3"/>
        <v>0.04</v>
      </c>
      <c r="I5" s="97">
        <f t="shared" si="3"/>
        <v>0.04</v>
      </c>
      <c r="J5" s="97">
        <f t="shared" si="3"/>
        <v>0.04</v>
      </c>
      <c r="K5" s="97">
        <f t="shared" si="3"/>
        <v>0.04</v>
      </c>
      <c r="L5" s="97">
        <f t="shared" si="3"/>
        <v>0.04</v>
      </c>
      <c r="M5" s="97">
        <f t="shared" si="3"/>
        <v>0.04</v>
      </c>
      <c r="N5" s="97">
        <f t="shared" si="3"/>
        <v>0.04</v>
      </c>
      <c r="O5" s="11"/>
    </row>
    <row r="6" spans="1:15">
      <c r="A6" s="24" t="s">
        <v>36</v>
      </c>
      <c r="B6" s="97">
        <v>0.04</v>
      </c>
      <c r="C6" s="97">
        <f t="shared" si="1"/>
        <v>0.04</v>
      </c>
      <c r="D6" s="97">
        <f t="shared" ref="D6:N6" si="4">C6</f>
        <v>0.04</v>
      </c>
      <c r="E6" s="97">
        <f t="shared" si="4"/>
        <v>0.04</v>
      </c>
      <c r="F6" s="97">
        <f t="shared" si="4"/>
        <v>0.04</v>
      </c>
      <c r="G6" s="97">
        <f t="shared" si="4"/>
        <v>0.04</v>
      </c>
      <c r="H6" s="97">
        <f t="shared" si="4"/>
        <v>0.04</v>
      </c>
      <c r="I6" s="97">
        <f t="shared" si="4"/>
        <v>0.04</v>
      </c>
      <c r="J6" s="97">
        <f t="shared" si="4"/>
        <v>0.04</v>
      </c>
      <c r="K6" s="97">
        <f t="shared" si="4"/>
        <v>0.04</v>
      </c>
      <c r="L6" s="97">
        <f t="shared" si="4"/>
        <v>0.04</v>
      </c>
      <c r="M6" s="97">
        <f t="shared" si="4"/>
        <v>0.04</v>
      </c>
      <c r="N6" s="97">
        <f t="shared" si="4"/>
        <v>0.04</v>
      </c>
      <c r="O6" s="11"/>
    </row>
    <row r="7" spans="1:15">
      <c r="A7" s="96" t="s">
        <v>303</v>
      </c>
      <c r="B7" s="97">
        <f>B44</f>
        <v>0.2</v>
      </c>
      <c r="C7" s="97">
        <f t="shared" si="1"/>
        <v>0.2</v>
      </c>
      <c r="D7" s="97">
        <f t="shared" ref="D7:N7" si="5">C7</f>
        <v>0.2</v>
      </c>
      <c r="E7" s="97">
        <f t="shared" si="5"/>
        <v>0.2</v>
      </c>
      <c r="F7" s="97">
        <f t="shared" si="5"/>
        <v>0.2</v>
      </c>
      <c r="G7" s="97">
        <f t="shared" si="5"/>
        <v>0.2</v>
      </c>
      <c r="H7" s="97">
        <f t="shared" si="5"/>
        <v>0.2</v>
      </c>
      <c r="I7" s="97">
        <f t="shared" si="5"/>
        <v>0.2</v>
      </c>
      <c r="J7" s="97">
        <f t="shared" si="5"/>
        <v>0.2</v>
      </c>
      <c r="K7" s="97">
        <f t="shared" si="5"/>
        <v>0.2</v>
      </c>
      <c r="L7" s="97">
        <f t="shared" si="5"/>
        <v>0.2</v>
      </c>
      <c r="M7" s="97">
        <f t="shared" si="5"/>
        <v>0.2</v>
      </c>
      <c r="N7" s="97">
        <f t="shared" si="5"/>
        <v>0.2</v>
      </c>
      <c r="O7" s="11"/>
    </row>
    <row r="8" spans="1:15">
      <c r="A8" s="24" t="s">
        <v>15</v>
      </c>
      <c r="B8" s="97">
        <f>B45</f>
        <v>0.2</v>
      </c>
      <c r="C8" s="97">
        <f t="shared" si="1"/>
        <v>0.2</v>
      </c>
      <c r="D8" s="97">
        <f t="shared" ref="D8:N8" si="6">C8</f>
        <v>0.2</v>
      </c>
      <c r="E8" s="97">
        <f t="shared" si="6"/>
        <v>0.2</v>
      </c>
      <c r="F8" s="97">
        <f t="shared" si="6"/>
        <v>0.2</v>
      </c>
      <c r="G8" s="97">
        <f t="shared" si="6"/>
        <v>0.2</v>
      </c>
      <c r="H8" s="97">
        <f t="shared" si="6"/>
        <v>0.2</v>
      </c>
      <c r="I8" s="97">
        <f t="shared" si="6"/>
        <v>0.2</v>
      </c>
      <c r="J8" s="97">
        <f t="shared" si="6"/>
        <v>0.2</v>
      </c>
      <c r="K8" s="97">
        <f t="shared" si="6"/>
        <v>0.2</v>
      </c>
      <c r="L8" s="97">
        <f t="shared" si="6"/>
        <v>0.2</v>
      </c>
      <c r="M8" s="97">
        <f t="shared" si="6"/>
        <v>0.2</v>
      </c>
      <c r="N8" s="97">
        <f t="shared" si="6"/>
        <v>0.2</v>
      </c>
      <c r="O8" s="11"/>
    </row>
    <row r="9" spans="1:15">
      <c r="A9" s="24" t="s">
        <v>37</v>
      </c>
      <c r="B9" s="97">
        <f>B46</f>
        <v>0.5</v>
      </c>
      <c r="C9" s="97">
        <f t="shared" si="1"/>
        <v>0.5</v>
      </c>
      <c r="D9" s="97">
        <f t="shared" ref="D9:N9" si="7">C9</f>
        <v>0.5</v>
      </c>
      <c r="E9" s="97">
        <f t="shared" si="7"/>
        <v>0.5</v>
      </c>
      <c r="F9" s="97">
        <f t="shared" si="7"/>
        <v>0.5</v>
      </c>
      <c r="G9" s="97">
        <f t="shared" si="7"/>
        <v>0.5</v>
      </c>
      <c r="H9" s="97">
        <f t="shared" si="7"/>
        <v>0.5</v>
      </c>
      <c r="I9" s="97">
        <f t="shared" si="7"/>
        <v>0.5</v>
      </c>
      <c r="J9" s="97">
        <f t="shared" si="7"/>
        <v>0.5</v>
      </c>
      <c r="K9" s="97">
        <f t="shared" si="7"/>
        <v>0.5</v>
      </c>
      <c r="L9" s="97">
        <f t="shared" si="7"/>
        <v>0.5</v>
      </c>
      <c r="M9" s="97">
        <f t="shared" si="7"/>
        <v>0.5</v>
      </c>
      <c r="N9" s="97">
        <f t="shared" si="7"/>
        <v>0.5</v>
      </c>
      <c r="O9" s="11"/>
    </row>
    <row r="10" spans="1:15">
      <c r="A10" s="24" t="s">
        <v>5</v>
      </c>
      <c r="B10" s="97">
        <f>SQRT(B7^2 + B8^2 -2*B9*B8*B7)</f>
        <v>0.2</v>
      </c>
      <c r="C10" s="97">
        <f t="shared" ref="C10:N10" si="8">SQRT(C7^2 + C8^2 -2*C9*C8*C7)</f>
        <v>0.2</v>
      </c>
      <c r="D10" s="97">
        <f t="shared" si="8"/>
        <v>0.2</v>
      </c>
      <c r="E10" s="97">
        <f t="shared" si="8"/>
        <v>0.2</v>
      </c>
      <c r="F10" s="97">
        <f t="shared" si="8"/>
        <v>0.2</v>
      </c>
      <c r="G10" s="97">
        <f t="shared" si="8"/>
        <v>0.2</v>
      </c>
      <c r="H10" s="97">
        <f t="shared" si="8"/>
        <v>0.2</v>
      </c>
      <c r="I10" s="97">
        <f t="shared" si="8"/>
        <v>0.2</v>
      </c>
      <c r="J10" s="97">
        <f t="shared" si="8"/>
        <v>0.2</v>
      </c>
      <c r="K10" s="97">
        <f t="shared" si="8"/>
        <v>0.2</v>
      </c>
      <c r="L10" s="97">
        <f t="shared" si="8"/>
        <v>0.2</v>
      </c>
      <c r="M10" s="97">
        <f t="shared" si="8"/>
        <v>0.2</v>
      </c>
      <c r="N10" s="97">
        <f t="shared" si="8"/>
        <v>0.2</v>
      </c>
      <c r="O10" s="26" t="s">
        <v>140</v>
      </c>
    </row>
    <row r="11" spans="1:15">
      <c r="A11" s="24" t="s">
        <v>124</v>
      </c>
      <c r="B11" s="98">
        <f>IF((B3/B4)&lt;B13,(B13-1)*B4*((B3/B4)/B13)^B14,B3-B4)</f>
        <v>0</v>
      </c>
      <c r="C11" s="98">
        <f t="shared" ref="C11:N11" si="9">IF((C3/C4)&lt;C13,(C13-1)*C4*((C3/C4)/C13)^C14,C3-C4)</f>
        <v>1.0416666666666665</v>
      </c>
      <c r="D11" s="98">
        <f t="shared" si="9"/>
        <v>4.1666666666666661</v>
      </c>
      <c r="E11" s="98">
        <f t="shared" si="9"/>
        <v>9.375</v>
      </c>
      <c r="F11" s="98">
        <f t="shared" si="9"/>
        <v>16.666666666666664</v>
      </c>
      <c r="G11" s="98">
        <f t="shared" si="9"/>
        <v>26.041666666666671</v>
      </c>
      <c r="H11" s="98">
        <f t="shared" si="9"/>
        <v>37.5</v>
      </c>
      <c r="I11" s="98">
        <f t="shared" si="9"/>
        <v>51.041666666666679</v>
      </c>
      <c r="J11" s="98">
        <f t="shared" si="9"/>
        <v>66.666666666666657</v>
      </c>
      <c r="K11" s="98">
        <f t="shared" si="9"/>
        <v>84.375</v>
      </c>
      <c r="L11" s="98">
        <f t="shared" si="9"/>
        <v>104.16666666666669</v>
      </c>
      <c r="M11" s="98">
        <f t="shared" si="9"/>
        <v>126.04166666666666</v>
      </c>
      <c r="N11" s="98">
        <f t="shared" si="9"/>
        <v>150</v>
      </c>
      <c r="O11" s="55" t="s">
        <v>140</v>
      </c>
    </row>
    <row r="12" spans="1:15">
      <c r="A12" s="96" t="s">
        <v>304</v>
      </c>
      <c r="B12" s="98">
        <f>IF(B3-B4&gt;0, B3-B4,0)</f>
        <v>0</v>
      </c>
      <c r="C12" s="98">
        <f t="shared" ref="C12:N12" si="10">IF(C3-C4&gt;0, C3-C4,0)</f>
        <v>0</v>
      </c>
      <c r="D12" s="98">
        <f t="shared" si="10"/>
        <v>0</v>
      </c>
      <c r="E12" s="98">
        <f t="shared" si="10"/>
        <v>0</v>
      </c>
      <c r="F12" s="98">
        <f t="shared" si="10"/>
        <v>0</v>
      </c>
      <c r="G12" s="98">
        <f t="shared" si="10"/>
        <v>0</v>
      </c>
      <c r="H12" s="98">
        <f t="shared" si="10"/>
        <v>0</v>
      </c>
      <c r="I12" s="98">
        <f t="shared" si="10"/>
        <v>25</v>
      </c>
      <c r="J12" s="98">
        <f t="shared" si="10"/>
        <v>50</v>
      </c>
      <c r="K12" s="98">
        <f t="shared" si="10"/>
        <v>75</v>
      </c>
      <c r="L12" s="98">
        <f t="shared" si="10"/>
        <v>100</v>
      </c>
      <c r="M12" s="98">
        <f t="shared" si="10"/>
        <v>125</v>
      </c>
      <c r="N12" s="98">
        <f t="shared" si="10"/>
        <v>150</v>
      </c>
      <c r="O12" s="55"/>
    </row>
    <row r="13" spans="1:15">
      <c r="A13" s="68" t="s">
        <v>301</v>
      </c>
      <c r="B13" s="51">
        <f>B14/(B14-1)</f>
        <v>2</v>
      </c>
      <c r="C13" s="8">
        <f t="shared" ref="C13:N13" si="11">C14/(C14-1)</f>
        <v>2</v>
      </c>
      <c r="D13" s="8">
        <f t="shared" si="11"/>
        <v>2</v>
      </c>
      <c r="E13" s="8">
        <f t="shared" si="11"/>
        <v>2</v>
      </c>
      <c r="F13" s="8">
        <f t="shared" si="11"/>
        <v>2</v>
      </c>
      <c r="G13" s="8">
        <f t="shared" si="11"/>
        <v>2</v>
      </c>
      <c r="H13" s="8">
        <f t="shared" si="11"/>
        <v>2</v>
      </c>
      <c r="I13" s="8">
        <f t="shared" si="11"/>
        <v>2</v>
      </c>
      <c r="J13" s="8">
        <f t="shared" si="11"/>
        <v>2</v>
      </c>
      <c r="K13" s="8">
        <f t="shared" si="11"/>
        <v>2</v>
      </c>
      <c r="L13" s="8">
        <f t="shared" si="11"/>
        <v>2</v>
      </c>
      <c r="M13" s="8">
        <f t="shared" si="11"/>
        <v>2</v>
      </c>
      <c r="N13" s="8">
        <f t="shared" si="11"/>
        <v>2</v>
      </c>
      <c r="O13" s="8"/>
    </row>
    <row r="14" spans="1:15">
      <c r="A14" s="10" t="s">
        <v>144</v>
      </c>
      <c r="B14" s="25">
        <f>(B6-B5+(B10^2)/2+SQRT((B6-B5-(B10^2)/2)^2+2*B6*(B10^2)))/(B10^2)</f>
        <v>2</v>
      </c>
      <c r="C14" s="25">
        <f t="shared" ref="C14:N14" si="12">(C6-C5+(C10^2)/2+SQRT((C6-C5-(C10^2)/2)^2+2*C6*(C10^2)))/(C10^2)</f>
        <v>2</v>
      </c>
      <c r="D14" s="25">
        <f t="shared" si="12"/>
        <v>2</v>
      </c>
      <c r="E14" s="25">
        <f t="shared" si="12"/>
        <v>2</v>
      </c>
      <c r="F14" s="25">
        <f t="shared" si="12"/>
        <v>2</v>
      </c>
      <c r="G14" s="25">
        <f t="shared" si="12"/>
        <v>2</v>
      </c>
      <c r="H14" s="25">
        <f t="shared" si="12"/>
        <v>2</v>
      </c>
      <c r="I14" s="25">
        <f t="shared" si="12"/>
        <v>2</v>
      </c>
      <c r="J14" s="25">
        <f t="shared" si="12"/>
        <v>2</v>
      </c>
      <c r="K14" s="25">
        <f t="shared" si="12"/>
        <v>2</v>
      </c>
      <c r="L14" s="25">
        <f t="shared" si="12"/>
        <v>2</v>
      </c>
      <c r="M14" s="25">
        <f t="shared" si="12"/>
        <v>2</v>
      </c>
      <c r="N14" s="25">
        <f t="shared" si="12"/>
        <v>2</v>
      </c>
    </row>
    <row r="44" spans="1:2">
      <c r="A44" s="96" t="s">
        <v>303</v>
      </c>
      <c r="B44" s="4">
        <v>0.2</v>
      </c>
    </row>
    <row r="45" spans="1:2">
      <c r="A45" s="24" t="s">
        <v>15</v>
      </c>
      <c r="B45" s="4">
        <v>0.2</v>
      </c>
    </row>
    <row r="46" spans="1:2">
      <c r="A46" s="24" t="s">
        <v>37</v>
      </c>
      <c r="B46" s="4">
        <v>0.5</v>
      </c>
    </row>
    <row r="47" spans="1:2">
      <c r="A47" s="24" t="s">
        <v>124</v>
      </c>
      <c r="B47" s="98" t="s">
        <v>306</v>
      </c>
    </row>
    <row r="48" spans="1:2">
      <c r="A48" s="96" t="s">
        <v>304</v>
      </c>
      <c r="B48" s="98" t="s">
        <v>307</v>
      </c>
    </row>
    <row r="49" spans="1:2">
      <c r="A49" s="68" t="s">
        <v>301</v>
      </c>
      <c r="B49" s="51" t="s">
        <v>308</v>
      </c>
    </row>
    <row r="50" spans="1:2">
      <c r="A50" s="24" t="s">
        <v>5</v>
      </c>
      <c r="B50" s="110" t="s">
        <v>305</v>
      </c>
    </row>
  </sheetData>
  <phoneticPr fontId="8" type="noConversion"/>
  <printOptions horizontalCentered="1" headings="1"/>
  <pageMargins left="0.75" right="0.75" top="1" bottom="1" header="0.5" footer="0.5"/>
  <pageSetup paperSize="9" scale="43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8173-EE13-4AB7-A33D-18FC0B5A0A2A}">
  <sheetPr>
    <pageSetUpPr fitToPage="1"/>
  </sheetPr>
  <dimension ref="A1:N43"/>
  <sheetViews>
    <sheetView topLeftCell="A22" workbookViewId="0">
      <selection activeCell="A43" sqref="A43"/>
    </sheetView>
  </sheetViews>
  <sheetFormatPr defaultRowHeight="12.75"/>
  <cols>
    <col min="1" max="1" width="20.42578125" bestFit="1" customWidth="1"/>
    <col min="2" max="9" width="6.5703125" bestFit="1" customWidth="1"/>
    <col min="10" max="13" width="6.5703125" customWidth="1"/>
    <col min="14" max="14" width="7.140625" customWidth="1"/>
  </cols>
  <sheetData>
    <row r="1" spans="1:14" ht="18.75">
      <c r="A1" s="18" t="s">
        <v>293</v>
      </c>
      <c r="B1" s="18"/>
      <c r="C1" s="18"/>
      <c r="D1" s="18"/>
      <c r="E1" s="18"/>
      <c r="F1" s="18"/>
      <c r="G1" s="44"/>
      <c r="H1" s="44"/>
      <c r="I1" s="44"/>
      <c r="J1" s="44"/>
      <c r="K1" s="44"/>
      <c r="L1" s="44"/>
      <c r="M1" s="44"/>
      <c r="N1" s="44"/>
    </row>
    <row r="2" spans="1:14" ht="18.75">
      <c r="A2" s="18" t="s">
        <v>156</v>
      </c>
      <c r="B2" s="18"/>
      <c r="C2" s="18"/>
      <c r="D2" s="18"/>
      <c r="E2" s="18"/>
      <c r="F2" s="18"/>
      <c r="G2" s="44"/>
      <c r="H2" s="44"/>
      <c r="I2" s="44"/>
      <c r="J2" s="44"/>
      <c r="K2" s="44"/>
      <c r="L2" s="44"/>
      <c r="M2" s="44"/>
      <c r="N2" s="44"/>
    </row>
    <row r="3" spans="1:14">
      <c r="A3" s="17" t="s">
        <v>377</v>
      </c>
      <c r="B3" s="94">
        <v>200</v>
      </c>
      <c r="C3" s="94">
        <f>B3+10</f>
        <v>210</v>
      </c>
      <c r="D3" s="94">
        <f t="shared" ref="D3:N3" si="0">C3+10</f>
        <v>220</v>
      </c>
      <c r="E3" s="94">
        <f t="shared" si="0"/>
        <v>230</v>
      </c>
      <c r="F3" s="94">
        <f t="shared" si="0"/>
        <v>240</v>
      </c>
      <c r="G3" s="94">
        <f t="shared" si="0"/>
        <v>250</v>
      </c>
      <c r="H3" s="94">
        <f t="shared" si="0"/>
        <v>260</v>
      </c>
      <c r="I3" s="94">
        <f t="shared" si="0"/>
        <v>270</v>
      </c>
      <c r="J3" s="94">
        <f t="shared" si="0"/>
        <v>280</v>
      </c>
      <c r="K3" s="94">
        <f t="shared" si="0"/>
        <v>290</v>
      </c>
      <c r="L3" s="123">
        <f t="shared" si="0"/>
        <v>300</v>
      </c>
      <c r="M3" s="94">
        <f t="shared" si="0"/>
        <v>310</v>
      </c>
      <c r="N3" s="94">
        <f t="shared" si="0"/>
        <v>320</v>
      </c>
    </row>
    <row r="4" spans="1:14">
      <c r="A4" s="17" t="s">
        <v>376</v>
      </c>
      <c r="B4" s="94">
        <f>B34</f>
        <v>150</v>
      </c>
      <c r="C4" s="94">
        <f>B4</f>
        <v>150</v>
      </c>
      <c r="D4" s="94">
        <f t="shared" ref="D4:N7" si="1">C4</f>
        <v>150</v>
      </c>
      <c r="E4" s="94">
        <f t="shared" si="1"/>
        <v>150</v>
      </c>
      <c r="F4" s="94">
        <f t="shared" si="1"/>
        <v>150</v>
      </c>
      <c r="G4" s="94">
        <f t="shared" si="1"/>
        <v>150</v>
      </c>
      <c r="H4" s="94">
        <f t="shared" si="1"/>
        <v>150</v>
      </c>
      <c r="I4" s="94">
        <f t="shared" si="1"/>
        <v>150</v>
      </c>
      <c r="J4" s="94">
        <f t="shared" si="1"/>
        <v>150</v>
      </c>
      <c r="K4" s="94">
        <f t="shared" si="1"/>
        <v>150</v>
      </c>
      <c r="L4" s="94">
        <f t="shared" si="1"/>
        <v>150</v>
      </c>
      <c r="M4" s="94">
        <f t="shared" si="1"/>
        <v>150</v>
      </c>
      <c r="N4" s="94">
        <f t="shared" si="1"/>
        <v>150</v>
      </c>
    </row>
    <row r="5" spans="1:14">
      <c r="A5" s="7" t="s">
        <v>183</v>
      </c>
      <c r="B5" s="8">
        <v>0.04</v>
      </c>
      <c r="C5" s="8">
        <f>B5</f>
        <v>0.04</v>
      </c>
      <c r="D5" s="8">
        <f t="shared" si="1"/>
        <v>0.04</v>
      </c>
      <c r="E5" s="8">
        <f t="shared" si="1"/>
        <v>0.04</v>
      </c>
      <c r="F5" s="8">
        <f t="shared" si="1"/>
        <v>0.04</v>
      </c>
      <c r="G5" s="8">
        <f t="shared" si="1"/>
        <v>0.04</v>
      </c>
      <c r="H5" s="8">
        <f t="shared" si="1"/>
        <v>0.04</v>
      </c>
      <c r="I5" s="8">
        <f t="shared" si="1"/>
        <v>0.04</v>
      </c>
      <c r="J5" s="8">
        <f t="shared" si="1"/>
        <v>0.04</v>
      </c>
      <c r="K5" s="8">
        <f t="shared" si="1"/>
        <v>0.04</v>
      </c>
      <c r="L5" s="8">
        <f t="shared" si="1"/>
        <v>0.04</v>
      </c>
      <c r="M5" s="8">
        <f t="shared" si="1"/>
        <v>0.04</v>
      </c>
      <c r="N5" s="8">
        <f t="shared" si="1"/>
        <v>0.04</v>
      </c>
    </row>
    <row r="6" spans="1:14">
      <c r="A6" s="7" t="s">
        <v>149</v>
      </c>
      <c r="B6" s="8">
        <f>B36</f>
        <v>0.2</v>
      </c>
      <c r="C6" s="8">
        <f>B6</f>
        <v>0.2</v>
      </c>
      <c r="D6" s="8">
        <f t="shared" si="1"/>
        <v>0.2</v>
      </c>
      <c r="E6" s="8">
        <f t="shared" si="1"/>
        <v>0.2</v>
      </c>
      <c r="F6" s="8">
        <f t="shared" si="1"/>
        <v>0.2</v>
      </c>
      <c r="G6" s="8">
        <f t="shared" si="1"/>
        <v>0.2</v>
      </c>
      <c r="H6" s="8">
        <f t="shared" si="1"/>
        <v>0.2</v>
      </c>
      <c r="I6" s="8">
        <f t="shared" si="1"/>
        <v>0.2</v>
      </c>
      <c r="J6" s="8">
        <f t="shared" si="1"/>
        <v>0.2</v>
      </c>
      <c r="K6" s="8">
        <f t="shared" si="1"/>
        <v>0.2</v>
      </c>
      <c r="L6" s="8">
        <f t="shared" si="1"/>
        <v>0.2</v>
      </c>
      <c r="M6" s="8">
        <f t="shared" si="1"/>
        <v>0.2</v>
      </c>
      <c r="N6" s="8">
        <f t="shared" si="1"/>
        <v>0.2</v>
      </c>
    </row>
    <row r="7" spans="1:14">
      <c r="A7" s="11" t="s">
        <v>125</v>
      </c>
      <c r="B7" s="8">
        <f>B35</f>
        <v>0.04</v>
      </c>
      <c r="C7" s="8">
        <f>B7</f>
        <v>0.04</v>
      </c>
      <c r="D7" s="8">
        <f t="shared" si="1"/>
        <v>0.04</v>
      </c>
      <c r="E7" s="8">
        <f t="shared" si="1"/>
        <v>0.04</v>
      </c>
      <c r="F7" s="8">
        <f t="shared" si="1"/>
        <v>0.04</v>
      </c>
      <c r="G7" s="8">
        <f t="shared" si="1"/>
        <v>0.04</v>
      </c>
      <c r="H7" s="8">
        <f t="shared" si="1"/>
        <v>0.04</v>
      </c>
      <c r="I7" s="8">
        <f t="shared" si="1"/>
        <v>0.04</v>
      </c>
      <c r="J7" s="8">
        <f t="shared" si="1"/>
        <v>0.04</v>
      </c>
      <c r="K7" s="8">
        <f t="shared" si="1"/>
        <v>0.04</v>
      </c>
      <c r="L7" s="8">
        <f t="shared" si="1"/>
        <v>0.04</v>
      </c>
      <c r="M7" s="8">
        <f t="shared" si="1"/>
        <v>0.04</v>
      </c>
      <c r="N7" s="8">
        <f t="shared" si="1"/>
        <v>0.04</v>
      </c>
    </row>
    <row r="8" spans="1:14">
      <c r="A8" s="7" t="s">
        <v>182</v>
      </c>
      <c r="B8" s="51">
        <f>IF(B3&gt;B10,B9,(B10-B4)*((B3/B10)^B11))</f>
        <v>66.666666666666657</v>
      </c>
      <c r="C8" s="8">
        <f t="shared" ref="C8:N8" si="2">IF(C3&gt;C10,C9,(C10-C4)*((C3/C10)^C11))</f>
        <v>73.499999999999986</v>
      </c>
      <c r="D8" s="8">
        <f t="shared" si="2"/>
        <v>80.666666666666657</v>
      </c>
      <c r="E8" s="8">
        <f t="shared" si="2"/>
        <v>88.166666666666671</v>
      </c>
      <c r="F8" s="8">
        <f t="shared" si="2"/>
        <v>96.000000000000014</v>
      </c>
      <c r="G8" s="8">
        <f t="shared" si="2"/>
        <v>104.16666666666669</v>
      </c>
      <c r="H8" s="8">
        <f t="shared" si="2"/>
        <v>112.66666666666667</v>
      </c>
      <c r="I8" s="8">
        <f t="shared" si="2"/>
        <v>121.50000000000001</v>
      </c>
      <c r="J8" s="8">
        <f t="shared" si="2"/>
        <v>130.66666666666669</v>
      </c>
      <c r="K8" s="8">
        <f t="shared" si="2"/>
        <v>140.16666666666666</v>
      </c>
      <c r="L8" s="8">
        <f t="shared" si="2"/>
        <v>150</v>
      </c>
      <c r="M8" s="8">
        <f t="shared" si="2"/>
        <v>150</v>
      </c>
      <c r="N8" s="8">
        <f t="shared" si="2"/>
        <v>150</v>
      </c>
    </row>
    <row r="9" spans="1:14">
      <c r="A9" t="s">
        <v>186</v>
      </c>
      <c r="B9" s="51">
        <f>IF(B3-B4&gt;0,MIN(B3-B4,B10-B4),0)</f>
        <v>50</v>
      </c>
      <c r="C9" s="51">
        <f t="shared" ref="C9:N9" si="3">IF(C3-C4&gt;0,MIN(C3-C4,C10-C4),0)</f>
        <v>60</v>
      </c>
      <c r="D9" s="51">
        <f t="shared" si="3"/>
        <v>70</v>
      </c>
      <c r="E9" s="51">
        <f t="shared" si="3"/>
        <v>80</v>
      </c>
      <c r="F9" s="51">
        <f t="shared" si="3"/>
        <v>90</v>
      </c>
      <c r="G9" s="51">
        <f t="shared" si="3"/>
        <v>100</v>
      </c>
      <c r="H9" s="51">
        <f t="shared" si="3"/>
        <v>110</v>
      </c>
      <c r="I9" s="51">
        <f t="shared" si="3"/>
        <v>120</v>
      </c>
      <c r="J9" s="51">
        <f t="shared" si="3"/>
        <v>130</v>
      </c>
      <c r="K9" s="51">
        <f t="shared" si="3"/>
        <v>140</v>
      </c>
      <c r="L9" s="51">
        <f t="shared" si="3"/>
        <v>150</v>
      </c>
      <c r="M9" s="51">
        <f t="shared" si="3"/>
        <v>150</v>
      </c>
      <c r="N9" s="51">
        <f t="shared" si="3"/>
        <v>150</v>
      </c>
    </row>
    <row r="10" spans="1:14">
      <c r="A10" s="11" t="s">
        <v>145</v>
      </c>
      <c r="B10" s="95">
        <f>B4*B11/(B11-1)</f>
        <v>300</v>
      </c>
      <c r="C10" s="94">
        <f t="shared" ref="C10:N10" si="4">C4*C11/(C11-1)</f>
        <v>300</v>
      </c>
      <c r="D10" s="94">
        <f t="shared" si="4"/>
        <v>300</v>
      </c>
      <c r="E10" s="94">
        <f t="shared" si="4"/>
        <v>300</v>
      </c>
      <c r="F10" s="94">
        <f t="shared" si="4"/>
        <v>300</v>
      </c>
      <c r="G10" s="94">
        <f t="shared" si="4"/>
        <v>300</v>
      </c>
      <c r="H10" s="94">
        <f t="shared" si="4"/>
        <v>300</v>
      </c>
      <c r="I10" s="94">
        <f t="shared" si="4"/>
        <v>300</v>
      </c>
      <c r="J10" s="94">
        <f t="shared" si="4"/>
        <v>300</v>
      </c>
      <c r="K10" s="94">
        <f t="shared" si="4"/>
        <v>300</v>
      </c>
      <c r="L10" s="94">
        <f t="shared" si="4"/>
        <v>300</v>
      </c>
      <c r="M10" s="94">
        <f t="shared" si="4"/>
        <v>300</v>
      </c>
      <c r="N10" s="94">
        <f t="shared" si="4"/>
        <v>300</v>
      </c>
    </row>
    <row r="11" spans="1:14">
      <c r="A11" s="10" t="s">
        <v>144</v>
      </c>
      <c r="B11" s="25">
        <f>(B7-B5+(B6^2)/2+SQRT((B5-B7-(B6^2)/2)^2+2*B5*(B6^2)))/(B6^2)</f>
        <v>2</v>
      </c>
      <c r="C11" s="25">
        <f t="shared" ref="C11:N11" si="5">(C7-C5+(C6^2)/2+SQRT((C5-C7-(C6^2)/2)^2+2*C5*(C6^2)))/(C6^2)</f>
        <v>2</v>
      </c>
      <c r="D11" s="25">
        <f t="shared" si="5"/>
        <v>2</v>
      </c>
      <c r="E11" s="25">
        <f t="shared" si="5"/>
        <v>2</v>
      </c>
      <c r="F11" s="25">
        <f t="shared" si="5"/>
        <v>2</v>
      </c>
      <c r="G11" s="25">
        <f t="shared" si="5"/>
        <v>2</v>
      </c>
      <c r="H11" s="25">
        <f t="shared" si="5"/>
        <v>2</v>
      </c>
      <c r="I11" s="25">
        <f t="shared" si="5"/>
        <v>2</v>
      </c>
      <c r="J11" s="25">
        <f t="shared" si="5"/>
        <v>2</v>
      </c>
      <c r="K11" s="25">
        <f t="shared" si="5"/>
        <v>2</v>
      </c>
      <c r="L11" s="25">
        <f t="shared" si="5"/>
        <v>2</v>
      </c>
      <c r="M11" s="25">
        <f t="shared" si="5"/>
        <v>2</v>
      </c>
      <c r="N11" s="25">
        <f t="shared" si="5"/>
        <v>2</v>
      </c>
    </row>
    <row r="12" spans="1:14">
      <c r="A12" s="10" t="s">
        <v>151</v>
      </c>
      <c r="B12" s="47">
        <f>((B11-1)^(B11-1))/((B11^B11)*(B4^(B11-1)))</f>
        <v>1.6666666666666668E-3</v>
      </c>
      <c r="C12" s="47">
        <f t="shared" ref="C12:N12" si="6">((C11-1)^(C11-1))/((C11^C11)*(C4^(C11-1)))</f>
        <v>1.6666666666666668E-3</v>
      </c>
      <c r="D12" s="47">
        <f t="shared" si="6"/>
        <v>1.6666666666666668E-3</v>
      </c>
      <c r="E12" s="47">
        <f t="shared" si="6"/>
        <v>1.6666666666666668E-3</v>
      </c>
      <c r="F12" s="47">
        <f t="shared" si="6"/>
        <v>1.6666666666666668E-3</v>
      </c>
      <c r="G12" s="47">
        <f t="shared" si="6"/>
        <v>1.6666666666666668E-3</v>
      </c>
      <c r="H12" s="47">
        <f t="shared" si="6"/>
        <v>1.6666666666666668E-3</v>
      </c>
      <c r="I12" s="47">
        <f t="shared" si="6"/>
        <v>1.6666666666666668E-3</v>
      </c>
      <c r="J12" s="47">
        <f t="shared" si="6"/>
        <v>1.6666666666666668E-3</v>
      </c>
      <c r="K12" s="47">
        <f t="shared" si="6"/>
        <v>1.6666666666666668E-3</v>
      </c>
      <c r="L12" s="47">
        <f t="shared" si="6"/>
        <v>1.6666666666666668E-3</v>
      </c>
      <c r="M12" s="47">
        <f t="shared" si="6"/>
        <v>1.6666666666666668E-3</v>
      </c>
      <c r="N12" s="47">
        <f t="shared" si="6"/>
        <v>1.6666666666666668E-3</v>
      </c>
    </row>
    <row r="31" spans="1:14" ht="14.25">
      <c r="A31" s="112" t="s">
        <v>407</v>
      </c>
      <c r="B31" s="50">
        <f t="shared" ref="B31:N31" si="7">IF(B3&lt;B10,B12*(B3^B11),B32)</f>
        <v>66.666666666666671</v>
      </c>
      <c r="C31" s="50">
        <f t="shared" si="7"/>
        <v>73.5</v>
      </c>
      <c r="D31" s="50">
        <f t="shared" si="7"/>
        <v>80.666666666666671</v>
      </c>
      <c r="E31" s="50">
        <f t="shared" si="7"/>
        <v>88.166666666666671</v>
      </c>
      <c r="F31" s="50">
        <f t="shared" si="7"/>
        <v>96</v>
      </c>
      <c r="G31" s="50">
        <f t="shared" si="7"/>
        <v>104.16666666666667</v>
      </c>
      <c r="H31" s="50">
        <f t="shared" si="7"/>
        <v>112.66666666666667</v>
      </c>
      <c r="I31" s="50">
        <f t="shared" si="7"/>
        <v>121.50000000000001</v>
      </c>
      <c r="J31" s="50">
        <f t="shared" si="7"/>
        <v>130.66666666666669</v>
      </c>
      <c r="K31" s="50">
        <f t="shared" si="7"/>
        <v>140.16666666666669</v>
      </c>
      <c r="L31" s="46">
        <f t="shared" si="7"/>
        <v>150</v>
      </c>
      <c r="M31" s="50">
        <f t="shared" si="7"/>
        <v>150</v>
      </c>
      <c r="N31" s="50">
        <f t="shared" si="7"/>
        <v>150</v>
      </c>
    </row>
    <row r="32" spans="1:14">
      <c r="A32" s="111" t="s">
        <v>68</v>
      </c>
      <c r="B32" s="93">
        <f t="shared" ref="B32:N32" si="8">B10-B4</f>
        <v>150</v>
      </c>
      <c r="C32" s="113">
        <f t="shared" si="8"/>
        <v>150</v>
      </c>
      <c r="D32" s="113">
        <f t="shared" si="8"/>
        <v>150</v>
      </c>
      <c r="E32" s="113">
        <f t="shared" si="8"/>
        <v>150</v>
      </c>
      <c r="F32" s="113">
        <f t="shared" si="8"/>
        <v>150</v>
      </c>
      <c r="G32" s="113">
        <f t="shared" si="8"/>
        <v>150</v>
      </c>
      <c r="H32" s="113">
        <f t="shared" si="8"/>
        <v>150</v>
      </c>
      <c r="I32" s="113">
        <f t="shared" si="8"/>
        <v>150</v>
      </c>
      <c r="J32" s="113">
        <f t="shared" si="8"/>
        <v>150</v>
      </c>
      <c r="K32" s="113">
        <f t="shared" si="8"/>
        <v>150</v>
      </c>
      <c r="L32" s="124">
        <f t="shared" si="8"/>
        <v>150</v>
      </c>
      <c r="M32" s="113">
        <f t="shared" si="8"/>
        <v>150</v>
      </c>
      <c r="N32" s="113">
        <f t="shared" si="8"/>
        <v>150</v>
      </c>
    </row>
    <row r="33" spans="1:14" ht="15">
      <c r="A33" s="115" t="s">
        <v>408</v>
      </c>
      <c r="B33" s="50">
        <f t="shared" ref="B33:N33" si="9">IF(B3&lt;B10,B11*B12*(B3^(B11-1)),1)</f>
        <v>0.66666666666666674</v>
      </c>
      <c r="C33" s="50">
        <f t="shared" si="9"/>
        <v>0.70000000000000007</v>
      </c>
      <c r="D33" s="50">
        <f t="shared" si="9"/>
        <v>0.73333333333333339</v>
      </c>
      <c r="E33" s="50">
        <f t="shared" si="9"/>
        <v>0.76666666666666672</v>
      </c>
      <c r="F33" s="50">
        <f t="shared" si="9"/>
        <v>0.8</v>
      </c>
      <c r="G33" s="50">
        <f t="shared" si="9"/>
        <v>0.83333333333333337</v>
      </c>
      <c r="H33" s="50">
        <f t="shared" si="9"/>
        <v>0.8666666666666667</v>
      </c>
      <c r="I33" s="50">
        <f t="shared" si="9"/>
        <v>0.9</v>
      </c>
      <c r="J33" s="50">
        <f t="shared" si="9"/>
        <v>0.93333333333333335</v>
      </c>
      <c r="K33" s="50">
        <f t="shared" si="9"/>
        <v>0.96666666666666667</v>
      </c>
      <c r="L33" s="46">
        <f t="shared" si="9"/>
        <v>1</v>
      </c>
      <c r="M33" s="50">
        <f t="shared" si="9"/>
        <v>1</v>
      </c>
      <c r="N33" s="50">
        <f t="shared" si="9"/>
        <v>1</v>
      </c>
    </row>
    <row r="34" spans="1:14">
      <c r="A34" t="s">
        <v>181</v>
      </c>
      <c r="B34">
        <v>150</v>
      </c>
    </row>
    <row r="35" spans="1:14">
      <c r="A35" s="17" t="s">
        <v>135</v>
      </c>
      <c r="B35" s="4">
        <v>0.04</v>
      </c>
    </row>
    <row r="36" spans="1:14">
      <c r="A36" t="s">
        <v>149</v>
      </c>
      <c r="B36" s="4">
        <v>0.2</v>
      </c>
    </row>
    <row r="37" spans="1:14">
      <c r="A37" s="7" t="s">
        <v>182</v>
      </c>
      <c r="B37" s="51" t="s">
        <v>297</v>
      </c>
    </row>
    <row r="38" spans="1:14">
      <c r="A38" t="s">
        <v>186</v>
      </c>
      <c r="B38" s="51" t="s">
        <v>383</v>
      </c>
    </row>
    <row r="39" spans="1:14">
      <c r="A39" s="11" t="s">
        <v>145</v>
      </c>
      <c r="B39" s="95" t="s">
        <v>299</v>
      </c>
    </row>
    <row r="40" spans="1:14">
      <c r="A40" s="10" t="s">
        <v>151</v>
      </c>
      <c r="B40" s="47" t="s">
        <v>381</v>
      </c>
    </row>
    <row r="41" spans="1:14" ht="14.25">
      <c r="A41" s="112" t="s">
        <v>407</v>
      </c>
      <c r="B41" s="50" t="s">
        <v>380</v>
      </c>
    </row>
    <row r="42" spans="1:14">
      <c r="A42" s="111" t="s">
        <v>68</v>
      </c>
      <c r="B42" s="93" t="s">
        <v>378</v>
      </c>
    </row>
    <row r="43" spans="1:14" ht="15">
      <c r="A43" s="115" t="s">
        <v>408</v>
      </c>
      <c r="B43" s="50" t="s">
        <v>382</v>
      </c>
    </row>
  </sheetData>
  <printOptions horizontalCentered="1" headings="1"/>
  <pageMargins left="0.7" right="0.7" top="0.75" bottom="0.75" header="0.3" footer="0.3"/>
  <pageSetup scale="77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B29B-FF95-4852-979B-8C687C9FCC69}">
  <dimension ref="A1:C22"/>
  <sheetViews>
    <sheetView workbookViewId="0">
      <selection sqref="A1:C22"/>
    </sheetView>
  </sheetViews>
  <sheetFormatPr defaultRowHeight="12.75"/>
  <cols>
    <col min="2" max="2" width="10.7109375" customWidth="1"/>
    <col min="3" max="3" width="34.42578125" customWidth="1"/>
  </cols>
  <sheetData>
    <row r="1" spans="1:3" ht="15.75">
      <c r="A1" s="15" t="s">
        <v>397</v>
      </c>
    </row>
    <row r="2" spans="1:3">
      <c r="A2" s="42" t="s">
        <v>148</v>
      </c>
    </row>
    <row r="3" spans="1:3">
      <c r="A3" s="11" t="s">
        <v>0</v>
      </c>
      <c r="B3" s="8">
        <v>150</v>
      </c>
    </row>
    <row r="4" spans="1:3">
      <c r="A4" s="11" t="s">
        <v>29</v>
      </c>
      <c r="B4" s="8">
        <v>150</v>
      </c>
    </row>
    <row r="5" spans="1:3">
      <c r="A5" s="10" t="s">
        <v>3</v>
      </c>
      <c r="B5" s="8">
        <v>0.2</v>
      </c>
    </row>
    <row r="6" spans="1:3">
      <c r="A6" s="43" t="s">
        <v>1</v>
      </c>
      <c r="B6" s="8">
        <v>0.04</v>
      </c>
    </row>
    <row r="7" spans="1:3">
      <c r="A7" s="10" t="s">
        <v>187</v>
      </c>
      <c r="B7" s="8">
        <v>0.04</v>
      </c>
    </row>
    <row r="8" spans="1:3">
      <c r="A8" s="43" t="s">
        <v>150</v>
      </c>
      <c r="B8" s="11"/>
    </row>
    <row r="9" spans="1:3">
      <c r="A9" s="11" t="s">
        <v>2</v>
      </c>
      <c r="B9" s="8">
        <f>IF(B3&lt;B12,B13*(B3^B14),B10)</f>
        <v>37.500000000000007</v>
      </c>
      <c r="C9" s="9" t="s">
        <v>42</v>
      </c>
    </row>
    <row r="10" spans="1:3">
      <c r="A10" s="11" t="s">
        <v>30</v>
      </c>
      <c r="B10" s="8">
        <f>B3-B4</f>
        <v>0</v>
      </c>
      <c r="C10" s="9" t="s">
        <v>39</v>
      </c>
    </row>
    <row r="11" spans="1:3">
      <c r="A11" s="11" t="s">
        <v>32</v>
      </c>
      <c r="B11" s="8">
        <f>IF(B3&lt;B12,B13*B14*(B3^(B14-1)),1)</f>
        <v>0.50000000000000067</v>
      </c>
      <c r="C11" s="9" t="s">
        <v>43</v>
      </c>
    </row>
    <row r="12" spans="1:3">
      <c r="A12" s="11" t="s">
        <v>145</v>
      </c>
      <c r="B12" s="8">
        <f>(B14/(B14-1))*B4</f>
        <v>300.00000000000006</v>
      </c>
      <c r="C12" s="9" t="s">
        <v>44</v>
      </c>
    </row>
    <row r="13" spans="1:3">
      <c r="A13" s="11" t="s">
        <v>151</v>
      </c>
      <c r="B13" s="5">
        <f>(B12-B4)/(B12^B14)</f>
        <v>1.6666666666666709E-3</v>
      </c>
      <c r="C13" s="9" t="s">
        <v>45</v>
      </c>
    </row>
    <row r="14" spans="1:3" ht="14.25">
      <c r="A14" s="10" t="s">
        <v>129</v>
      </c>
      <c r="B14" s="8">
        <f>0.5-(B6-B7)/(B5^2)+SQRT(((B6-B7)/(B5^2)-0.5)^2 + 2*B6/(B5^2))</f>
        <v>1.9999999999999998</v>
      </c>
      <c r="C14" s="6"/>
    </row>
    <row r="15" spans="1:3">
      <c r="A15" s="11" t="s">
        <v>2</v>
      </c>
      <c r="B15" s="51">
        <f>IF(B3&lt;B12,((B12-B4)*(B3/B12)^B14),B10)</f>
        <v>37.500000000000007</v>
      </c>
      <c r="C15" s="9" t="s">
        <v>396</v>
      </c>
    </row>
    <row r="16" spans="1:3" ht="14.25">
      <c r="A16" s="10" t="s">
        <v>129</v>
      </c>
      <c r="B16" s="9" t="s">
        <v>41</v>
      </c>
      <c r="C16" s="6"/>
    </row>
    <row r="17" spans="1:3">
      <c r="A17" t="s">
        <v>184</v>
      </c>
      <c r="B17" s="4">
        <f>0.5*(B5^2)*(B3^2)*B18+(B6-B7)*B3*B11-B6*B9</f>
        <v>0</v>
      </c>
      <c r="C17" s="14" t="s">
        <v>63</v>
      </c>
    </row>
    <row r="18" spans="1:3">
      <c r="A18" t="s">
        <v>31</v>
      </c>
      <c r="B18" s="4">
        <f>IF(B3&lt;B12,B13*B14*(B14-1)*(B3^(B14-2)),0)</f>
        <v>3.3333333333333366E-3</v>
      </c>
      <c r="C18" s="14" t="s">
        <v>64</v>
      </c>
    </row>
    <row r="19" spans="1:3">
      <c r="A19" t="s">
        <v>33</v>
      </c>
      <c r="B19" s="4">
        <f>B13*B14*(B12^(B14-1))</f>
        <v>1.0000000000000016</v>
      </c>
      <c r="C19" s="14" t="s">
        <v>65</v>
      </c>
    </row>
    <row r="20" spans="1:3">
      <c r="A20" t="s">
        <v>34</v>
      </c>
      <c r="B20" s="4">
        <f>IF(B3&lt;B12,B13*(B12^B14),B10)</f>
        <v>150.00000000000006</v>
      </c>
      <c r="C20" s="14" t="s">
        <v>66</v>
      </c>
    </row>
    <row r="21" spans="1:3">
      <c r="A21" t="s">
        <v>68</v>
      </c>
      <c r="B21" s="4">
        <f>B12-B4</f>
        <v>150.00000000000006</v>
      </c>
      <c r="C21" s="14" t="s">
        <v>67</v>
      </c>
    </row>
    <row r="22" spans="1:3">
      <c r="A22" s="17" t="s">
        <v>151</v>
      </c>
      <c r="B22" s="47">
        <f>((B14-1)^(B14-1))/((B14^B14)*(B4^(B14-1)))</f>
        <v>1.6666666666666687E-3</v>
      </c>
      <c r="C22" s="114" t="s">
        <v>379</v>
      </c>
    </row>
  </sheetData>
  <printOptions horizontalCentered="1" headings="1"/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8017-C9AA-4072-9D92-4A7DA60A75BB}">
  <sheetPr>
    <pageSetUpPr fitToPage="1"/>
  </sheetPr>
  <dimension ref="A1:I55"/>
  <sheetViews>
    <sheetView topLeftCell="A26" workbookViewId="0">
      <selection activeCell="B49" sqref="B49"/>
    </sheetView>
  </sheetViews>
  <sheetFormatPr defaultRowHeight="12.75"/>
  <cols>
    <col min="2" max="2" width="9.5703125" bestFit="1" customWidth="1"/>
    <col min="3" max="9" width="9.28515625" bestFit="1" customWidth="1"/>
  </cols>
  <sheetData>
    <row r="1" spans="1:9" ht="15">
      <c r="A1" s="17" t="s">
        <v>356</v>
      </c>
    </row>
    <row r="2" spans="1:9">
      <c r="A2" t="s">
        <v>7</v>
      </c>
    </row>
    <row r="3" spans="1:9">
      <c r="A3" t="s">
        <v>366</v>
      </c>
      <c r="B3" s="62">
        <v>100</v>
      </c>
      <c r="C3" s="62">
        <f>B3</f>
        <v>100</v>
      </c>
      <c r="D3" s="62">
        <f t="shared" ref="D3:I3" si="0">C3</f>
        <v>100</v>
      </c>
      <c r="E3" s="62">
        <f t="shared" si="0"/>
        <v>100</v>
      </c>
      <c r="F3" s="62">
        <f t="shared" si="0"/>
        <v>100</v>
      </c>
      <c r="G3" s="62">
        <f t="shared" si="0"/>
        <v>100</v>
      </c>
      <c r="H3" s="62">
        <f t="shared" si="0"/>
        <v>100</v>
      </c>
      <c r="I3" s="62">
        <f t="shared" si="0"/>
        <v>100</v>
      </c>
    </row>
    <row r="4" spans="1:9">
      <c r="A4" t="s">
        <v>367</v>
      </c>
      <c r="B4" s="62">
        <v>100</v>
      </c>
      <c r="C4" s="62">
        <f>B4-10</f>
        <v>90</v>
      </c>
      <c r="D4" s="62">
        <f t="shared" ref="D4:I4" si="1">C4-10</f>
        <v>80</v>
      </c>
      <c r="E4" s="62">
        <f t="shared" si="1"/>
        <v>70</v>
      </c>
      <c r="F4" s="62">
        <f t="shared" si="1"/>
        <v>60</v>
      </c>
      <c r="G4" s="62">
        <f t="shared" si="1"/>
        <v>50</v>
      </c>
      <c r="H4" s="62">
        <f t="shared" si="1"/>
        <v>40</v>
      </c>
      <c r="I4" s="62">
        <f t="shared" si="1"/>
        <v>30</v>
      </c>
    </row>
    <row r="5" spans="1:9">
      <c r="A5" s="52" t="s">
        <v>357</v>
      </c>
      <c r="B5" s="62">
        <v>0.04</v>
      </c>
      <c r="C5" s="62">
        <f t="shared" ref="C5:I10" si="2">B5</f>
        <v>0.04</v>
      </c>
      <c r="D5" s="62">
        <f t="shared" si="2"/>
        <v>0.04</v>
      </c>
      <c r="E5" s="62">
        <f t="shared" si="2"/>
        <v>0.04</v>
      </c>
      <c r="F5" s="62">
        <f t="shared" si="2"/>
        <v>0.04</v>
      </c>
      <c r="G5" s="62">
        <f t="shared" si="2"/>
        <v>0.04</v>
      </c>
      <c r="H5" s="62">
        <f t="shared" si="2"/>
        <v>0.04</v>
      </c>
      <c r="I5" s="62">
        <f t="shared" si="2"/>
        <v>0.04</v>
      </c>
    </row>
    <row r="6" spans="1:9">
      <c r="A6" s="52" t="s">
        <v>358</v>
      </c>
      <c r="B6" s="62">
        <v>0.04</v>
      </c>
      <c r="C6" s="62">
        <f t="shared" si="2"/>
        <v>0.04</v>
      </c>
      <c r="D6" s="62">
        <f t="shared" si="2"/>
        <v>0.04</v>
      </c>
      <c r="E6" s="62">
        <f t="shared" si="2"/>
        <v>0.04</v>
      </c>
      <c r="F6" s="62">
        <f t="shared" si="2"/>
        <v>0.04</v>
      </c>
      <c r="G6" s="62">
        <f t="shared" si="2"/>
        <v>0.04</v>
      </c>
      <c r="H6" s="62">
        <f t="shared" si="2"/>
        <v>0.04</v>
      </c>
      <c r="I6" s="62">
        <f t="shared" si="2"/>
        <v>0.04</v>
      </c>
    </row>
    <row r="7" spans="1:9" ht="15">
      <c r="A7" s="100" t="s">
        <v>359</v>
      </c>
      <c r="B7" s="67">
        <f>B46</f>
        <v>0.4</v>
      </c>
      <c r="C7" s="67">
        <f>B7</f>
        <v>0.4</v>
      </c>
      <c r="D7" s="67">
        <f t="shared" si="2"/>
        <v>0.4</v>
      </c>
      <c r="E7" s="67">
        <f t="shared" si="2"/>
        <v>0.4</v>
      </c>
      <c r="F7" s="67">
        <f t="shared" si="2"/>
        <v>0.4</v>
      </c>
      <c r="G7" s="67">
        <f t="shared" si="2"/>
        <v>0.4</v>
      </c>
      <c r="H7" s="67">
        <f t="shared" si="2"/>
        <v>0.4</v>
      </c>
      <c r="I7" s="67">
        <f t="shared" si="2"/>
        <v>0.4</v>
      </c>
    </row>
    <row r="8" spans="1:9" ht="15">
      <c r="A8" s="100" t="s">
        <v>360</v>
      </c>
      <c r="B8" s="67">
        <f>B47</f>
        <v>0.3</v>
      </c>
      <c r="C8" s="67">
        <f>B8</f>
        <v>0.3</v>
      </c>
      <c r="D8" s="67">
        <f t="shared" si="2"/>
        <v>0.3</v>
      </c>
      <c r="E8" s="67">
        <f t="shared" si="2"/>
        <v>0.3</v>
      </c>
      <c r="F8" s="67">
        <f t="shared" si="2"/>
        <v>0.3</v>
      </c>
      <c r="G8" s="67">
        <f t="shared" si="2"/>
        <v>0.3</v>
      </c>
      <c r="H8" s="67">
        <f t="shared" si="2"/>
        <v>0.3</v>
      </c>
      <c r="I8" s="67">
        <f t="shared" si="2"/>
        <v>0.3</v>
      </c>
    </row>
    <row r="9" spans="1:9">
      <c r="A9" s="52" t="s">
        <v>204</v>
      </c>
      <c r="B9" s="67">
        <f>B48</f>
        <v>0.75</v>
      </c>
      <c r="C9" s="67">
        <f>B9</f>
        <v>0.75</v>
      </c>
      <c r="D9" s="67">
        <f t="shared" si="2"/>
        <v>0.75</v>
      </c>
      <c r="E9" s="67">
        <f t="shared" si="2"/>
        <v>0.75</v>
      </c>
      <c r="F9" s="67">
        <f t="shared" si="2"/>
        <v>0.75</v>
      </c>
      <c r="G9" s="67">
        <f t="shared" si="2"/>
        <v>0.75</v>
      </c>
      <c r="H9" s="67">
        <f t="shared" si="2"/>
        <v>0.75</v>
      </c>
      <c r="I9" s="67">
        <f t="shared" si="2"/>
        <v>0.75</v>
      </c>
    </row>
    <row r="10" spans="1:9">
      <c r="A10" s="52" t="s">
        <v>1</v>
      </c>
      <c r="B10" s="62">
        <v>0.05</v>
      </c>
      <c r="C10" s="62">
        <f t="shared" si="2"/>
        <v>0.05</v>
      </c>
      <c r="D10" s="62">
        <f t="shared" si="2"/>
        <v>0.05</v>
      </c>
      <c r="E10" s="62">
        <f t="shared" si="2"/>
        <v>0.05</v>
      </c>
      <c r="F10" s="62">
        <f t="shared" si="2"/>
        <v>0.05</v>
      </c>
      <c r="G10" s="62">
        <f t="shared" si="2"/>
        <v>0.05</v>
      </c>
      <c r="H10" s="62">
        <f t="shared" si="2"/>
        <v>0.05</v>
      </c>
      <c r="I10" s="62">
        <f t="shared" si="2"/>
        <v>0.05</v>
      </c>
    </row>
    <row r="11" spans="1:9">
      <c r="A11" s="52" t="s">
        <v>140</v>
      </c>
      <c r="B11" s="62" t="s">
        <v>140</v>
      </c>
      <c r="C11" s="62" t="s">
        <v>140</v>
      </c>
      <c r="D11" s="62" t="s">
        <v>140</v>
      </c>
      <c r="E11" s="62" t="s">
        <v>140</v>
      </c>
      <c r="F11" s="62" t="s">
        <v>140</v>
      </c>
      <c r="G11" s="62" t="s">
        <v>140</v>
      </c>
      <c r="H11" s="62" t="s">
        <v>140</v>
      </c>
      <c r="I11" s="62" t="s">
        <v>140</v>
      </c>
    </row>
    <row r="12" spans="1:9">
      <c r="A12" s="52" t="s">
        <v>140</v>
      </c>
      <c r="B12" s="62" t="s">
        <v>140</v>
      </c>
      <c r="C12" s="62" t="s">
        <v>140</v>
      </c>
      <c r="D12" s="62" t="s">
        <v>140</v>
      </c>
      <c r="E12" s="62" t="s">
        <v>140</v>
      </c>
      <c r="F12" s="62" t="s">
        <v>140</v>
      </c>
      <c r="G12" s="62" t="s">
        <v>140</v>
      </c>
      <c r="H12" s="62" t="s">
        <v>140</v>
      </c>
      <c r="I12" s="62" t="s">
        <v>140</v>
      </c>
    </row>
    <row r="13" spans="1:9">
      <c r="A13" s="52" t="s">
        <v>29</v>
      </c>
      <c r="B13" s="63">
        <v>50</v>
      </c>
      <c r="C13" s="63">
        <v>50</v>
      </c>
      <c r="D13" s="63">
        <v>50</v>
      </c>
      <c r="E13" s="63">
        <v>50</v>
      </c>
      <c r="F13" s="63">
        <v>50</v>
      </c>
      <c r="G13" s="63">
        <v>50</v>
      </c>
      <c r="H13" s="63">
        <v>50</v>
      </c>
      <c r="I13" s="63">
        <v>50</v>
      </c>
    </row>
    <row r="14" spans="1:9">
      <c r="A14" t="s">
        <v>140</v>
      </c>
      <c r="B14" s="3" t="s">
        <v>140</v>
      </c>
      <c r="C14" s="3" t="s">
        <v>140</v>
      </c>
      <c r="D14" s="3" t="s">
        <v>140</v>
      </c>
      <c r="E14" s="3" t="s">
        <v>140</v>
      </c>
      <c r="F14" s="3" t="s">
        <v>140</v>
      </c>
      <c r="G14" s="3" t="s">
        <v>140</v>
      </c>
      <c r="H14" s="3" t="s">
        <v>140</v>
      </c>
      <c r="I14" s="3" t="s">
        <v>140</v>
      </c>
    </row>
    <row r="15" spans="1:9">
      <c r="A15" s="61" t="s">
        <v>368</v>
      </c>
      <c r="B15" s="107">
        <f>B3/B5-B4/B6</f>
        <v>0</v>
      </c>
      <c r="C15" s="107">
        <f t="shared" ref="C15:I15" si="3">C3/C5-C4/C6</f>
        <v>250</v>
      </c>
      <c r="D15" s="107">
        <f t="shared" si="3"/>
        <v>500</v>
      </c>
      <c r="E15" s="107">
        <f t="shared" si="3"/>
        <v>750</v>
      </c>
      <c r="F15" s="107">
        <f t="shared" si="3"/>
        <v>1000</v>
      </c>
      <c r="G15" s="107">
        <f t="shared" si="3"/>
        <v>1250</v>
      </c>
      <c r="H15" s="107">
        <f t="shared" si="3"/>
        <v>1500</v>
      </c>
      <c r="I15" s="107">
        <f t="shared" si="3"/>
        <v>1750</v>
      </c>
    </row>
    <row r="16" spans="1:9">
      <c r="A16" s="61" t="s">
        <v>140</v>
      </c>
      <c r="B16" s="108" t="s">
        <v>140</v>
      </c>
      <c r="C16" s="108" t="s">
        <v>140</v>
      </c>
      <c r="D16" s="108" t="s">
        <v>140</v>
      </c>
      <c r="E16" s="108" t="s">
        <v>140</v>
      </c>
      <c r="F16" s="108" t="s">
        <v>140</v>
      </c>
      <c r="G16" s="108" t="s">
        <v>140</v>
      </c>
      <c r="H16" s="108" t="s">
        <v>140</v>
      </c>
      <c r="I16" s="108" t="s">
        <v>140</v>
      </c>
    </row>
    <row r="17" spans="1:9">
      <c r="A17" t="s">
        <v>334</v>
      </c>
      <c r="B17" s="93">
        <f>B3</f>
        <v>100</v>
      </c>
      <c r="C17" s="93">
        <f t="shared" ref="C17:I17" si="4">C3</f>
        <v>100</v>
      </c>
      <c r="D17" s="93">
        <f t="shared" si="4"/>
        <v>100</v>
      </c>
      <c r="E17" s="93">
        <f t="shared" si="4"/>
        <v>100</v>
      </c>
      <c r="F17" s="93">
        <f t="shared" si="4"/>
        <v>100</v>
      </c>
      <c r="G17" s="93">
        <f t="shared" si="4"/>
        <v>100</v>
      </c>
      <c r="H17" s="93">
        <f t="shared" si="4"/>
        <v>100</v>
      </c>
      <c r="I17" s="93">
        <f t="shared" si="4"/>
        <v>100</v>
      </c>
    </row>
    <row r="18" spans="1:9">
      <c r="A18" t="s">
        <v>8</v>
      </c>
    </row>
    <row r="19" spans="1:9">
      <c r="A19" t="s">
        <v>335</v>
      </c>
      <c r="B19" s="58">
        <f>1-(B5)/(B3)*(B13)</f>
        <v>0.98</v>
      </c>
      <c r="C19" s="58">
        <f t="shared" ref="C19:I19" si="5">1-(C5)/(C3)*(C13)</f>
        <v>0.98</v>
      </c>
      <c r="D19" s="58">
        <f t="shared" si="5"/>
        <v>0.98</v>
      </c>
      <c r="E19" s="58">
        <f t="shared" si="5"/>
        <v>0.98</v>
      </c>
      <c r="F19" s="58">
        <f t="shared" si="5"/>
        <v>0.98</v>
      </c>
      <c r="G19" s="58">
        <f t="shared" si="5"/>
        <v>0.98</v>
      </c>
      <c r="H19" s="58">
        <f t="shared" si="5"/>
        <v>0.98</v>
      </c>
      <c r="I19" s="58">
        <f t="shared" si="5"/>
        <v>0.98</v>
      </c>
    </row>
    <row r="20" spans="1:9">
      <c r="A20" t="s">
        <v>336</v>
      </c>
      <c r="B20" s="58">
        <f>(B7^2)-(2*(B10-B5))-(2*B9*B7*B8)+(B19*(2*(B10-B6)+(B8^2)))</f>
        <v>6.7799999999999985E-2</v>
      </c>
      <c r="C20" s="58">
        <f t="shared" ref="C20:I20" si="6">(C7^2)-(2*(C10-C5))-(2*C9*C7*C8)+(C19*(2*(C10-C6)+(C8^2)))</f>
        <v>6.7799999999999985E-2</v>
      </c>
      <c r="D20" s="58">
        <f t="shared" si="6"/>
        <v>6.7799999999999985E-2</v>
      </c>
      <c r="E20" s="58">
        <f t="shared" si="6"/>
        <v>6.7799999999999985E-2</v>
      </c>
      <c r="F20" s="58">
        <f t="shared" si="6"/>
        <v>6.7799999999999985E-2</v>
      </c>
      <c r="G20" s="58">
        <f t="shared" si="6"/>
        <v>6.7799999999999985E-2</v>
      </c>
      <c r="H20" s="58">
        <f t="shared" si="6"/>
        <v>6.7799999999999985E-2</v>
      </c>
      <c r="I20" s="58">
        <f t="shared" si="6"/>
        <v>6.7799999999999985E-2</v>
      </c>
    </row>
    <row r="21" spans="1:9">
      <c r="A21" t="s">
        <v>337</v>
      </c>
      <c r="B21" s="58">
        <f>(B7^2)+((B8^2)*(B19^2))-(2*B9*B7*B8*B19)</f>
        <v>7.0035999999999987E-2</v>
      </c>
      <c r="C21" s="58">
        <f t="shared" ref="C21:I21" si="7">(C7^2)+((C8^2)*(C19^2))-(2*C9*C7*C8*C19)</f>
        <v>7.0035999999999987E-2</v>
      </c>
      <c r="D21" s="58">
        <f t="shared" si="7"/>
        <v>7.0035999999999987E-2</v>
      </c>
      <c r="E21" s="58">
        <f t="shared" si="7"/>
        <v>7.0035999999999987E-2</v>
      </c>
      <c r="F21" s="58">
        <f t="shared" si="7"/>
        <v>7.0035999999999987E-2</v>
      </c>
      <c r="G21" s="58">
        <f t="shared" si="7"/>
        <v>7.0035999999999987E-2</v>
      </c>
      <c r="H21" s="58">
        <f t="shared" si="7"/>
        <v>7.0035999999999987E-2</v>
      </c>
      <c r="I21" s="58">
        <f t="shared" si="7"/>
        <v>7.0035999999999987E-2</v>
      </c>
    </row>
    <row r="22" spans="1:9" ht="14.25">
      <c r="A22" s="103" t="s">
        <v>361</v>
      </c>
      <c r="B22" s="47">
        <f>(B20/(2*B21))+SQRT(((B20/(2*B21))^2)+(2*((B6)/B21)))</f>
        <v>1.6573062707222439</v>
      </c>
      <c r="C22" s="47">
        <f t="shared" ref="C22:I22" si="8">(C20/(2*C21))+SQRT(((C20/(2*C21))^2)+(2*((C6)/C21)))</f>
        <v>1.6573062707222439</v>
      </c>
      <c r="D22" s="47">
        <f t="shared" si="8"/>
        <v>1.6573062707222439</v>
      </c>
      <c r="E22" s="47">
        <f t="shared" si="8"/>
        <v>1.6573062707222439</v>
      </c>
      <c r="F22" s="47">
        <f t="shared" si="8"/>
        <v>1.6573062707222439</v>
      </c>
      <c r="G22" s="47">
        <f t="shared" si="8"/>
        <v>1.6573062707222439</v>
      </c>
      <c r="H22" s="47">
        <f t="shared" si="8"/>
        <v>1.6573062707222439</v>
      </c>
      <c r="I22" s="47">
        <f t="shared" si="8"/>
        <v>1.6573062707222439</v>
      </c>
    </row>
    <row r="23" spans="1:9" ht="14.25">
      <c r="A23" s="103" t="s">
        <v>362</v>
      </c>
      <c r="B23" s="47">
        <f>1-B19*B22</f>
        <v>-0.62416014530779895</v>
      </c>
      <c r="C23" s="47">
        <f t="shared" ref="C23:I23" si="9">1-C19*C22</f>
        <v>-0.62416014530779895</v>
      </c>
      <c r="D23" s="47">
        <f t="shared" si="9"/>
        <v>-0.62416014530779895</v>
      </c>
      <c r="E23" s="47">
        <f t="shared" si="9"/>
        <v>-0.62416014530779895</v>
      </c>
      <c r="F23" s="47">
        <f t="shared" si="9"/>
        <v>-0.62416014530779895</v>
      </c>
      <c r="G23" s="47">
        <f t="shared" si="9"/>
        <v>-0.62416014530779895</v>
      </c>
      <c r="H23" s="47">
        <f t="shared" si="9"/>
        <v>-0.62416014530779895</v>
      </c>
      <c r="I23" s="47">
        <f t="shared" si="9"/>
        <v>-0.62416014530779895</v>
      </c>
    </row>
    <row r="24" spans="1:9">
      <c r="A24" t="s">
        <v>340</v>
      </c>
      <c r="B24" s="104">
        <f>(-B23*B6*B17)/(B22*B5)</f>
        <v>37.661122529621139</v>
      </c>
      <c r="C24" s="104">
        <f t="shared" ref="C24:I24" si="10">(-C23*C6*C17)/(C22*C5)</f>
        <v>37.661122529621139</v>
      </c>
      <c r="D24" s="104">
        <f t="shared" si="10"/>
        <v>37.661122529621139</v>
      </c>
      <c r="E24" s="104">
        <f t="shared" si="10"/>
        <v>37.661122529621139</v>
      </c>
      <c r="F24" s="104">
        <f t="shared" si="10"/>
        <v>37.661122529621139</v>
      </c>
      <c r="G24" s="104">
        <f t="shared" si="10"/>
        <v>37.661122529621139</v>
      </c>
      <c r="H24" s="104">
        <f t="shared" si="10"/>
        <v>37.661122529621139</v>
      </c>
      <c r="I24" s="104">
        <f t="shared" si="10"/>
        <v>37.661122529621139</v>
      </c>
    </row>
    <row r="25" spans="1:9">
      <c r="A25" t="s">
        <v>341</v>
      </c>
      <c r="B25" s="102">
        <f>(1/(B22*B5*(B17^(B22-1))*(B24^B23)))</f>
        <v>7.0393808129119657</v>
      </c>
      <c r="C25" s="102">
        <f t="shared" ref="C25:I25" si="11">(1/(C22*C5*(C17^(C22-1))*(C24^C23)))</f>
        <v>7.0393808129119657</v>
      </c>
      <c r="D25" s="102">
        <f t="shared" si="11"/>
        <v>7.0393808129119657</v>
      </c>
      <c r="E25" s="102">
        <f t="shared" si="11"/>
        <v>7.0393808129119657</v>
      </c>
      <c r="F25" s="102">
        <f t="shared" si="11"/>
        <v>7.0393808129119657</v>
      </c>
      <c r="G25" s="102">
        <f t="shared" si="11"/>
        <v>7.0393808129119657</v>
      </c>
      <c r="H25" s="102">
        <f t="shared" si="11"/>
        <v>7.0393808129119657</v>
      </c>
      <c r="I25" s="102">
        <f t="shared" si="11"/>
        <v>7.0393808129119657</v>
      </c>
    </row>
    <row r="26" spans="1:9">
      <c r="A26" t="s">
        <v>70</v>
      </c>
      <c r="B26" s="104">
        <f>IF(B4&gt;B24,B25*(B3^B22)*(B4^B23),B27)</f>
        <v>820.02427880456514</v>
      </c>
      <c r="C26" s="104">
        <f t="shared" ref="C26:I26" si="12">IF(C4&gt;C24,C25*(C3^C22)*(C4^C23),C27)</f>
        <v>875.76324214363171</v>
      </c>
      <c r="D26" s="104">
        <f t="shared" si="12"/>
        <v>942.57101082178519</v>
      </c>
      <c r="E26" s="104">
        <f t="shared" si="12"/>
        <v>1024.4961737821282</v>
      </c>
      <c r="F26" s="104">
        <f t="shared" si="12"/>
        <v>1127.9656096281826</v>
      </c>
      <c r="G26" s="104">
        <f t="shared" si="12"/>
        <v>1263.9143268972271</v>
      </c>
      <c r="H26" s="104">
        <f t="shared" si="12"/>
        <v>1452.7972347750233</v>
      </c>
      <c r="I26" s="104">
        <f t="shared" si="12"/>
        <v>1700</v>
      </c>
    </row>
    <row r="27" spans="1:9">
      <c r="A27" t="s">
        <v>75</v>
      </c>
      <c r="B27" s="104">
        <f>MAX(B15-B13,0)</f>
        <v>0</v>
      </c>
      <c r="C27" s="104">
        <f t="shared" ref="C27:I27" si="13">MAX(C15-C13,0)</f>
        <v>200</v>
      </c>
      <c r="D27" s="104">
        <f t="shared" si="13"/>
        <v>450</v>
      </c>
      <c r="E27" s="104">
        <f t="shared" si="13"/>
        <v>700</v>
      </c>
      <c r="F27" s="104">
        <f t="shared" si="13"/>
        <v>950</v>
      </c>
      <c r="G27" s="104">
        <f t="shared" si="13"/>
        <v>1200</v>
      </c>
      <c r="H27" s="104">
        <f t="shared" si="13"/>
        <v>1450</v>
      </c>
      <c r="I27" s="104">
        <f t="shared" si="13"/>
        <v>1700</v>
      </c>
    </row>
    <row r="28" spans="1:9">
      <c r="A28" t="s">
        <v>343</v>
      </c>
      <c r="B28" s="109">
        <f>0.5*(B7^2)*(B3^2)*B31+0.5*(B8^2)*(B4^2)*B32+B9*B7*B8*B3*B4*B33+(B10-B5)*B3*B29+(B10-B6)*B4*B30-B10*B26</f>
        <v>0</v>
      </c>
      <c r="C28" s="109">
        <f t="shared" ref="C28:I28" si="14">0.5*(C7^2)*(C3^2)*C31+0.5*(C8^2)*(C4^2)*C32+C9*C7*C8*C3*C4*C33+(C10-C5)*C3*C29+(C10-C6)*C4*C30-C10*C26</f>
        <v>0</v>
      </c>
      <c r="D28" s="109">
        <f t="shared" si="14"/>
        <v>-5.6843418860808015E-14</v>
      </c>
      <c r="E28" s="109">
        <f t="shared" si="14"/>
        <v>-6.3948846218409017E-14</v>
      </c>
      <c r="F28" s="109">
        <f t="shared" si="14"/>
        <v>-9.2370555648813024E-14</v>
      </c>
      <c r="G28" s="109">
        <f t="shared" si="14"/>
        <v>0</v>
      </c>
      <c r="H28" s="109">
        <f t="shared" si="14"/>
        <v>0</v>
      </c>
      <c r="I28" s="109">
        <f t="shared" si="14"/>
        <v>1.9274197792499592</v>
      </c>
    </row>
    <row r="29" spans="1:9" ht="15">
      <c r="A29" t="s">
        <v>344</v>
      </c>
      <c r="B29" s="109">
        <f>B22*B25*(B3^(B22-1))*(B4^B23)</f>
        <v>13.590313794072907</v>
      </c>
      <c r="C29" s="109">
        <f t="shared" ref="C29:I29" si="15">C22*C25*(C3^(C22-1))*(C4^C23)</f>
        <v>14.514079128726829</v>
      </c>
      <c r="D29" s="109">
        <f t="shared" si="15"/>
        <v>15.621288468359475</v>
      </c>
      <c r="E29" s="109">
        <f t="shared" si="15"/>
        <v>16.979039331400656</v>
      </c>
      <c r="F29" s="109">
        <f t="shared" si="15"/>
        <v>18.693844779958248</v>
      </c>
      <c r="G29" s="109">
        <f t="shared" si="15"/>
        <v>20.946931396224571</v>
      </c>
      <c r="H29" s="109">
        <f t="shared" si="15"/>
        <v>24.077299672805808</v>
      </c>
      <c r="I29" s="109">
        <f t="shared" si="15"/>
        <v>28.813071579571162</v>
      </c>
    </row>
    <row r="30" spans="1:9" ht="15">
      <c r="A30" t="s">
        <v>345</v>
      </c>
      <c r="B30" s="109">
        <f>B23*B25*(B3^B22)*(B4^(B23-1))</f>
        <v>-5.1182647301458006</v>
      </c>
      <c r="C30" s="109">
        <f t="shared" ref="C30:I30" si="16">C23*C25*(C3^C22)*(C4^(C23-1))</f>
        <v>-6.0735168052399784</v>
      </c>
      <c r="D30" s="109">
        <f t="shared" si="16"/>
        <v>-7.3539407384680588</v>
      </c>
      <c r="E30" s="109">
        <f t="shared" si="16"/>
        <v>-9.1349954385019583</v>
      </c>
      <c r="F30" s="109">
        <f t="shared" si="16"/>
        <v>-11.733852980128779</v>
      </c>
      <c r="G30" s="109">
        <f t="shared" si="16"/>
        <v>-15.777698998655639</v>
      </c>
      <c r="H30" s="109">
        <f t="shared" si="16"/>
        <v>-22.669453328998664</v>
      </c>
      <c r="I30" s="109">
        <f t="shared" si="16"/>
        <v>-36.17108730709915</v>
      </c>
    </row>
    <row r="31" spans="1:9" ht="15">
      <c r="A31" t="s">
        <v>346</v>
      </c>
      <c r="B31" s="109">
        <f>B22*(B22-1)*B25*(B3^(B22-2))*(B4^B23)</f>
        <v>8.9329984779271274E-2</v>
      </c>
      <c r="C31" s="109">
        <f t="shared" ref="C31:I31" si="17">C22*(C22-1)*C25*(C3^(C22-2))*(C4^C23)</f>
        <v>9.5401952250709812E-2</v>
      </c>
      <c r="D31" s="109">
        <f t="shared" si="17"/>
        <v>0.10267970867013755</v>
      </c>
      <c r="E31" s="109">
        <f t="shared" si="17"/>
        <v>0.11160429023369262</v>
      </c>
      <c r="F31" s="109">
        <f t="shared" si="17"/>
        <v>0.12287581397774834</v>
      </c>
      <c r="G31" s="109">
        <f t="shared" si="17"/>
        <v>0.1376854935912705</v>
      </c>
      <c r="H31" s="109">
        <f t="shared" si="17"/>
        <v>0.15826160056993879</v>
      </c>
      <c r="I31" s="109">
        <f t="shared" si="17"/>
        <v>0.18939012628020982</v>
      </c>
    </row>
    <row r="32" spans="1:9" ht="15">
      <c r="A32" t="s">
        <v>347</v>
      </c>
      <c r="B32" s="109">
        <f>B23*(B23-1)*B25*(B3^B22)*(B4^(B23-2))</f>
        <v>8.3128815878373813E-2</v>
      </c>
      <c r="C32" s="109">
        <f t="shared" ref="C32:I32" si="18">C23*(C23-1)*C25*(C3^C22)*(C4^(C23-2))</f>
        <v>0.10960404374364366</v>
      </c>
      <c r="D32" s="109">
        <f t="shared" si="18"/>
        <v>0.14929971822969032</v>
      </c>
      <c r="E32" s="109">
        <f t="shared" si="18"/>
        <v>0.21195279312547732</v>
      </c>
      <c r="F32" s="109">
        <f t="shared" si="18"/>
        <v>0.31762760602043821</v>
      </c>
      <c r="G32" s="109">
        <f t="shared" si="18"/>
        <v>0.51251019796558539</v>
      </c>
      <c r="H32" s="109">
        <f t="shared" si="18"/>
        <v>0.92047056532187055</v>
      </c>
      <c r="I32" s="109">
        <f t="shared" si="18"/>
        <v>1.9582546138879742</v>
      </c>
    </row>
    <row r="33" spans="1:9" ht="15">
      <c r="A33" t="s">
        <v>348</v>
      </c>
      <c r="B33" s="109">
        <f>B22*B23*B25*(B3^(B22-1))*(B4^(B23-1))</f>
        <v>-8.4825322324871222E-2</v>
      </c>
      <c r="C33" s="109">
        <f t="shared" ref="C33:I33" si="19">C22*C23*C25*(C3^(C22-1))*(C4^(C23-1))</f>
        <v>-0.10065677486661138</v>
      </c>
      <c r="D33" s="109">
        <f t="shared" si="19"/>
        <v>-0.12187732100382873</v>
      </c>
      <c r="E33" s="109">
        <f t="shared" si="19"/>
        <v>-0.15139485223248378</v>
      </c>
      <c r="F33" s="109">
        <f t="shared" si="19"/>
        <v>-0.19446588123700301</v>
      </c>
      <c r="G33" s="109">
        <f t="shared" si="19"/>
        <v>-0.26148479488040038</v>
      </c>
      <c r="H33" s="109">
        <f t="shared" si="19"/>
        <v>-0.37570227155994707</v>
      </c>
      <c r="I33" s="109">
        <f t="shared" si="19"/>
        <v>-0.59946569812897132</v>
      </c>
    </row>
    <row r="34" spans="1:9">
      <c r="A34" t="str">
        <f>A3</f>
        <v>x OUT</v>
      </c>
      <c r="B34">
        <f t="shared" ref="B34:I34" si="20">B3</f>
        <v>100</v>
      </c>
      <c r="C34">
        <f t="shared" si="20"/>
        <v>100</v>
      </c>
      <c r="D34">
        <f t="shared" si="20"/>
        <v>100</v>
      </c>
      <c r="E34">
        <f t="shared" si="20"/>
        <v>100</v>
      </c>
      <c r="F34">
        <f t="shared" si="20"/>
        <v>100</v>
      </c>
      <c r="G34">
        <f t="shared" si="20"/>
        <v>100</v>
      </c>
      <c r="H34">
        <f t="shared" si="20"/>
        <v>100</v>
      </c>
      <c r="I34">
        <f t="shared" si="20"/>
        <v>100</v>
      </c>
    </row>
    <row r="35" spans="1:9">
      <c r="A35" t="str">
        <f>A4</f>
        <v>y IN</v>
      </c>
      <c r="B35">
        <f t="shared" ref="B35:I35" si="21">B4</f>
        <v>100</v>
      </c>
      <c r="C35">
        <f t="shared" si="21"/>
        <v>90</v>
      </c>
      <c r="D35">
        <f t="shared" si="21"/>
        <v>80</v>
      </c>
      <c r="E35">
        <f t="shared" si="21"/>
        <v>70</v>
      </c>
      <c r="F35">
        <f t="shared" si="21"/>
        <v>60</v>
      </c>
      <c r="G35">
        <f t="shared" si="21"/>
        <v>50</v>
      </c>
      <c r="H35">
        <f t="shared" si="21"/>
        <v>40</v>
      </c>
      <c r="I35">
        <f t="shared" si="21"/>
        <v>30</v>
      </c>
    </row>
    <row r="46" spans="1:9" ht="15">
      <c r="A46" s="100" t="s">
        <v>359</v>
      </c>
      <c r="B46" s="4">
        <v>0.4</v>
      </c>
    </row>
    <row r="47" spans="1:9" ht="15">
      <c r="A47" s="100" t="s">
        <v>360</v>
      </c>
      <c r="B47" s="4">
        <v>0.3</v>
      </c>
    </row>
    <row r="48" spans="1:9">
      <c r="A48" s="52" t="s">
        <v>204</v>
      </c>
      <c r="B48" s="4">
        <v>0.75</v>
      </c>
    </row>
    <row r="49" spans="1:2">
      <c r="A49" t="s">
        <v>70</v>
      </c>
      <c r="B49" s="104" t="s">
        <v>403</v>
      </c>
    </row>
    <row r="50" spans="1:2">
      <c r="A50" t="s">
        <v>343</v>
      </c>
      <c r="B50" s="125" t="s">
        <v>400</v>
      </c>
    </row>
    <row r="51" spans="1:2" ht="15">
      <c r="A51" t="s">
        <v>344</v>
      </c>
      <c r="B51" s="109" t="s">
        <v>398</v>
      </c>
    </row>
    <row r="52" spans="1:2" ht="15">
      <c r="A52" t="s">
        <v>345</v>
      </c>
      <c r="B52" s="109" t="s">
        <v>399</v>
      </c>
    </row>
    <row r="53" spans="1:2" ht="15">
      <c r="A53" t="s">
        <v>346</v>
      </c>
      <c r="B53" s="109" t="s">
        <v>374</v>
      </c>
    </row>
    <row r="54" spans="1:2" ht="15">
      <c r="A54" t="s">
        <v>347</v>
      </c>
      <c r="B54" s="109" t="s">
        <v>384</v>
      </c>
    </row>
    <row r="55" spans="1:2" ht="15">
      <c r="A55" t="s">
        <v>348</v>
      </c>
      <c r="B55" s="109" t="s">
        <v>385</v>
      </c>
    </row>
  </sheetData>
  <printOptions horizontalCentered="1" headings="1"/>
  <pageMargins left="0.7" right="0.7" top="0.75" bottom="0.75" header="0.3" footer="0.3"/>
  <pageSetup scale="93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E04A-B1DC-4209-881B-BE19A00D84B6}">
  <sheetPr>
    <pageSetUpPr fitToPage="1"/>
  </sheetPr>
  <dimension ref="A1:H64"/>
  <sheetViews>
    <sheetView topLeftCell="A36" workbookViewId="0">
      <selection activeCell="B56" sqref="B56"/>
    </sheetView>
  </sheetViews>
  <sheetFormatPr defaultRowHeight="12.75"/>
  <cols>
    <col min="1" max="1" width="11.7109375" customWidth="1"/>
  </cols>
  <sheetData>
    <row r="1" spans="1:8" ht="15">
      <c r="A1" s="17" t="s">
        <v>365</v>
      </c>
    </row>
    <row r="2" spans="1:8">
      <c r="A2" t="s">
        <v>7</v>
      </c>
    </row>
    <row r="3" spans="1:8">
      <c r="A3" t="s">
        <v>366</v>
      </c>
      <c r="B3" s="66">
        <f t="shared" ref="B3:B9" si="0">B49</f>
        <v>100</v>
      </c>
      <c r="C3" s="66">
        <f t="shared" ref="C3:H3" si="1">B3</f>
        <v>100</v>
      </c>
      <c r="D3" s="66">
        <f t="shared" si="1"/>
        <v>100</v>
      </c>
      <c r="E3" s="66">
        <f t="shared" si="1"/>
        <v>100</v>
      </c>
      <c r="F3" s="66">
        <f t="shared" si="1"/>
        <v>100</v>
      </c>
      <c r="G3" s="66">
        <f t="shared" si="1"/>
        <v>100</v>
      </c>
      <c r="H3" s="66">
        <f t="shared" si="1"/>
        <v>100</v>
      </c>
    </row>
    <row r="4" spans="1:8">
      <c r="A4" t="s">
        <v>367</v>
      </c>
      <c r="B4" s="66">
        <f t="shared" si="0"/>
        <v>200</v>
      </c>
      <c r="C4" s="66">
        <f>B4-25</f>
        <v>175</v>
      </c>
      <c r="D4" s="66">
        <f t="shared" ref="D4:H4" si="2">C4-25</f>
        <v>150</v>
      </c>
      <c r="E4" s="66">
        <f t="shared" si="2"/>
        <v>125</v>
      </c>
      <c r="F4" s="66">
        <f t="shared" si="2"/>
        <v>100</v>
      </c>
      <c r="G4" s="66">
        <f t="shared" si="2"/>
        <v>75</v>
      </c>
      <c r="H4" s="66">
        <f t="shared" si="2"/>
        <v>50</v>
      </c>
    </row>
    <row r="5" spans="1:8">
      <c r="A5" s="52" t="s">
        <v>357</v>
      </c>
      <c r="B5" s="66">
        <f t="shared" si="0"/>
        <v>0.04</v>
      </c>
      <c r="C5" s="66">
        <f t="shared" ref="C5:H12" si="3">B5</f>
        <v>0.04</v>
      </c>
      <c r="D5" s="66">
        <f t="shared" si="3"/>
        <v>0.04</v>
      </c>
      <c r="E5" s="66">
        <f t="shared" si="3"/>
        <v>0.04</v>
      </c>
      <c r="F5" s="66">
        <f t="shared" si="3"/>
        <v>0.04</v>
      </c>
      <c r="G5" s="66">
        <f t="shared" si="3"/>
        <v>0.04</v>
      </c>
      <c r="H5" s="66">
        <f t="shared" si="3"/>
        <v>0.04</v>
      </c>
    </row>
    <row r="6" spans="1:8">
      <c r="A6" s="52" t="s">
        <v>358</v>
      </c>
      <c r="B6" s="66">
        <f t="shared" si="0"/>
        <v>0.04</v>
      </c>
      <c r="C6" s="66">
        <f t="shared" si="3"/>
        <v>0.04</v>
      </c>
      <c r="D6" s="66">
        <f t="shared" si="3"/>
        <v>0.04</v>
      </c>
      <c r="E6" s="66">
        <f t="shared" si="3"/>
        <v>0.04</v>
      </c>
      <c r="F6" s="66">
        <f t="shared" si="3"/>
        <v>0.04</v>
      </c>
      <c r="G6" s="66">
        <f t="shared" si="3"/>
        <v>0.04</v>
      </c>
      <c r="H6" s="66">
        <f t="shared" si="3"/>
        <v>0.04</v>
      </c>
    </row>
    <row r="7" spans="1:8" ht="15">
      <c r="A7" s="100" t="s">
        <v>359</v>
      </c>
      <c r="B7" s="66">
        <f t="shared" si="0"/>
        <v>0.4</v>
      </c>
      <c r="C7" s="66">
        <f>B7</f>
        <v>0.4</v>
      </c>
      <c r="D7" s="66">
        <f t="shared" si="3"/>
        <v>0.4</v>
      </c>
      <c r="E7" s="66">
        <f t="shared" si="3"/>
        <v>0.4</v>
      </c>
      <c r="F7" s="66">
        <f t="shared" si="3"/>
        <v>0.4</v>
      </c>
      <c r="G7" s="66">
        <f t="shared" si="3"/>
        <v>0.4</v>
      </c>
      <c r="H7" s="66">
        <f t="shared" si="3"/>
        <v>0.4</v>
      </c>
    </row>
    <row r="8" spans="1:8" ht="15">
      <c r="A8" s="100" t="s">
        <v>360</v>
      </c>
      <c r="B8" s="66">
        <f t="shared" si="0"/>
        <v>0.3</v>
      </c>
      <c r="C8" s="66">
        <f t="shared" si="3"/>
        <v>0.3</v>
      </c>
      <c r="D8" s="66">
        <f t="shared" si="3"/>
        <v>0.3</v>
      </c>
      <c r="E8" s="66">
        <f t="shared" si="3"/>
        <v>0.3</v>
      </c>
      <c r="F8" s="66">
        <f t="shared" si="3"/>
        <v>0.3</v>
      </c>
      <c r="G8" s="66">
        <f t="shared" si="3"/>
        <v>0.3</v>
      </c>
      <c r="H8" s="66">
        <f t="shared" si="3"/>
        <v>0.3</v>
      </c>
    </row>
    <row r="9" spans="1:8">
      <c r="A9" s="52" t="s">
        <v>204</v>
      </c>
      <c r="B9" s="66">
        <f t="shared" si="0"/>
        <v>0.5</v>
      </c>
      <c r="C9" s="66">
        <f>B9</f>
        <v>0.5</v>
      </c>
      <c r="D9" s="66">
        <f t="shared" si="3"/>
        <v>0.5</v>
      </c>
      <c r="E9" s="66">
        <f t="shared" si="3"/>
        <v>0.5</v>
      </c>
      <c r="F9" s="66">
        <f t="shared" si="3"/>
        <v>0.5</v>
      </c>
      <c r="G9" s="66">
        <f t="shared" si="3"/>
        <v>0.5</v>
      </c>
      <c r="H9" s="66">
        <f t="shared" si="3"/>
        <v>0.5</v>
      </c>
    </row>
    <row r="10" spans="1:8">
      <c r="A10" s="52" t="s">
        <v>1</v>
      </c>
      <c r="B10" s="66">
        <v>0.05</v>
      </c>
      <c r="C10" s="66">
        <f t="shared" si="3"/>
        <v>0.05</v>
      </c>
      <c r="D10" s="66">
        <f t="shared" si="3"/>
        <v>0.05</v>
      </c>
      <c r="E10" s="66">
        <f t="shared" si="3"/>
        <v>0.05</v>
      </c>
      <c r="F10" s="66">
        <f t="shared" si="3"/>
        <v>0.05</v>
      </c>
      <c r="G10" s="66">
        <f t="shared" si="3"/>
        <v>0.05</v>
      </c>
      <c r="H10" s="66">
        <f t="shared" si="3"/>
        <v>0.05</v>
      </c>
    </row>
    <row r="11" spans="1:8">
      <c r="A11" s="52" t="s">
        <v>349</v>
      </c>
      <c r="B11" s="66">
        <v>0</v>
      </c>
      <c r="C11" s="66">
        <f t="shared" si="3"/>
        <v>0</v>
      </c>
      <c r="D11" s="66">
        <f t="shared" si="3"/>
        <v>0</v>
      </c>
      <c r="E11" s="66">
        <f t="shared" si="3"/>
        <v>0</v>
      </c>
      <c r="F11" s="66">
        <f t="shared" si="3"/>
        <v>0</v>
      </c>
      <c r="G11" s="66">
        <f t="shared" si="3"/>
        <v>0</v>
      </c>
      <c r="H11" s="66">
        <f t="shared" si="3"/>
        <v>0</v>
      </c>
    </row>
    <row r="12" spans="1:8">
      <c r="A12" s="52" t="s">
        <v>350</v>
      </c>
      <c r="B12" s="66">
        <v>0</v>
      </c>
      <c r="C12" s="66">
        <f t="shared" si="3"/>
        <v>0</v>
      </c>
      <c r="D12" s="66">
        <f t="shared" si="3"/>
        <v>0</v>
      </c>
      <c r="E12" s="66">
        <f t="shared" si="3"/>
        <v>0</v>
      </c>
      <c r="F12" s="66">
        <f t="shared" si="3"/>
        <v>0</v>
      </c>
      <c r="G12" s="66">
        <f t="shared" si="3"/>
        <v>0</v>
      </c>
      <c r="H12" s="66">
        <f t="shared" si="3"/>
        <v>0</v>
      </c>
    </row>
    <row r="13" spans="1:8">
      <c r="A13" s="52" t="s">
        <v>288</v>
      </c>
      <c r="B13" s="66">
        <v>50</v>
      </c>
      <c r="C13" s="66">
        <v>50</v>
      </c>
      <c r="D13" s="66">
        <v>50</v>
      </c>
      <c r="E13" s="66">
        <v>50</v>
      </c>
      <c r="F13" s="66">
        <v>50</v>
      </c>
      <c r="G13" s="66">
        <v>50</v>
      </c>
      <c r="H13" s="66">
        <v>50</v>
      </c>
    </row>
    <row r="14" spans="1:8">
      <c r="A14" t="s">
        <v>140</v>
      </c>
      <c r="B14" s="3" t="s">
        <v>140</v>
      </c>
      <c r="C14" s="3" t="s">
        <v>140</v>
      </c>
      <c r="D14" s="3" t="s">
        <v>140</v>
      </c>
      <c r="E14" s="3" t="s">
        <v>140</v>
      </c>
      <c r="F14" s="3" t="s">
        <v>140</v>
      </c>
      <c r="G14" s="3" t="s">
        <v>140</v>
      </c>
      <c r="H14" s="3" t="s">
        <v>140</v>
      </c>
    </row>
    <row r="15" spans="1:8">
      <c r="A15" s="61" t="s">
        <v>73</v>
      </c>
      <c r="B15" s="64">
        <f>(B3/B5-B11/B10)</f>
        <v>2500</v>
      </c>
      <c r="C15" s="64">
        <f t="shared" ref="C15:G15" si="4">(C3/C5-C11/C10)</f>
        <v>2500</v>
      </c>
      <c r="D15" s="64">
        <f t="shared" si="4"/>
        <v>2500</v>
      </c>
      <c r="E15" s="64">
        <f t="shared" si="4"/>
        <v>2500</v>
      </c>
      <c r="F15" s="64">
        <f t="shared" si="4"/>
        <v>2500</v>
      </c>
      <c r="G15" s="64">
        <f t="shared" si="4"/>
        <v>2500</v>
      </c>
      <c r="H15" s="64">
        <f>(H3/H5-H11/H10)</f>
        <v>2500</v>
      </c>
    </row>
    <row r="16" spans="1:8">
      <c r="A16" s="61" t="s">
        <v>205</v>
      </c>
      <c r="B16" s="64">
        <f>(B4/B6-B12/B10)</f>
        <v>5000</v>
      </c>
      <c r="C16" s="64">
        <f t="shared" ref="C16:H16" si="5">(C4/C6-C12/C10)</f>
        <v>4375</v>
      </c>
      <c r="D16" s="64">
        <f t="shared" si="5"/>
        <v>3750</v>
      </c>
      <c r="E16" s="64">
        <f t="shared" si="5"/>
        <v>3125</v>
      </c>
      <c r="F16" s="64">
        <f t="shared" si="5"/>
        <v>2500</v>
      </c>
      <c r="G16" s="64">
        <f t="shared" si="5"/>
        <v>1875</v>
      </c>
      <c r="H16" s="64">
        <f t="shared" si="5"/>
        <v>1250</v>
      </c>
    </row>
    <row r="17" spans="1:8">
      <c r="A17" t="s">
        <v>334</v>
      </c>
      <c r="B17" s="58">
        <f>B3</f>
        <v>100</v>
      </c>
      <c r="C17" s="58">
        <f t="shared" ref="C17:H17" si="6">C3</f>
        <v>100</v>
      </c>
      <c r="D17" s="58">
        <f t="shared" si="6"/>
        <v>100</v>
      </c>
      <c r="E17" s="58">
        <f t="shared" si="6"/>
        <v>100</v>
      </c>
      <c r="F17" s="58">
        <f t="shared" si="6"/>
        <v>100</v>
      </c>
      <c r="G17" s="58">
        <f t="shared" si="6"/>
        <v>100</v>
      </c>
      <c r="H17" s="58">
        <f t="shared" si="6"/>
        <v>100</v>
      </c>
    </row>
    <row r="18" spans="1:8">
      <c r="A18" t="s">
        <v>8</v>
      </c>
    </row>
    <row r="19" spans="1:8">
      <c r="A19" t="s">
        <v>335</v>
      </c>
      <c r="B19" s="58">
        <f>1+(B5)/(B3)*(B13)</f>
        <v>1.02</v>
      </c>
      <c r="C19" s="58">
        <f t="shared" ref="C19:H19" si="7">1+(C5)/(C3)*(C13)</f>
        <v>1.02</v>
      </c>
      <c r="D19" s="58">
        <f t="shared" si="7"/>
        <v>1.02</v>
      </c>
      <c r="E19" s="58">
        <f t="shared" si="7"/>
        <v>1.02</v>
      </c>
      <c r="F19" s="58">
        <f t="shared" si="7"/>
        <v>1.02</v>
      </c>
      <c r="G19" s="58">
        <f t="shared" si="7"/>
        <v>1.02</v>
      </c>
      <c r="H19" s="58">
        <f t="shared" si="7"/>
        <v>1.02</v>
      </c>
    </row>
    <row r="20" spans="1:8">
      <c r="A20" t="s">
        <v>336</v>
      </c>
      <c r="B20" s="58">
        <f>(B7^2)-(2*(B10-B5))-(2*B9*B7*B8)+(B19*(2*(B10-B6)+(B8^2)))</f>
        <v>0.13220000000000004</v>
      </c>
      <c r="C20" s="58">
        <f t="shared" ref="C20:H20" si="8">(C7^2)-(2*(C10-C5))-(2*C9*C7*C8)+(C19*(2*(C10-C6)+(C8^2)))</f>
        <v>0.13220000000000004</v>
      </c>
      <c r="D20" s="58">
        <f t="shared" si="8"/>
        <v>0.13220000000000004</v>
      </c>
      <c r="E20" s="58">
        <f t="shared" si="8"/>
        <v>0.13220000000000004</v>
      </c>
      <c r="F20" s="58">
        <f t="shared" si="8"/>
        <v>0.13220000000000004</v>
      </c>
      <c r="G20" s="58">
        <f t="shared" si="8"/>
        <v>0.13220000000000004</v>
      </c>
      <c r="H20" s="58">
        <f t="shared" si="8"/>
        <v>0.13220000000000004</v>
      </c>
    </row>
    <row r="21" spans="1:8">
      <c r="A21" t="s">
        <v>337</v>
      </c>
      <c r="B21" s="58">
        <f>(B7^2)+((B8^2)*(B19^2))-(2*B9*B7*B8*B19)</f>
        <v>0.13123600000000002</v>
      </c>
      <c r="C21" s="58">
        <f t="shared" ref="C21:H21" si="9">(C7^2)+((C8^2)*(C19^2))-(2*C9*C7*C8*C19)</f>
        <v>0.13123600000000002</v>
      </c>
      <c r="D21" s="58">
        <f t="shared" si="9"/>
        <v>0.13123600000000002</v>
      </c>
      <c r="E21" s="58">
        <f t="shared" si="9"/>
        <v>0.13123600000000002</v>
      </c>
      <c r="F21" s="58">
        <f t="shared" si="9"/>
        <v>0.13123600000000002</v>
      </c>
      <c r="G21" s="58">
        <f t="shared" si="9"/>
        <v>0.13123600000000002</v>
      </c>
      <c r="H21" s="58">
        <f t="shared" si="9"/>
        <v>0.13123600000000002</v>
      </c>
    </row>
    <row r="22" spans="1:8">
      <c r="A22" s="103" t="s">
        <v>363</v>
      </c>
      <c r="B22" s="58">
        <f>(B20/(2*B21))-SQRT(((B20/(2*B21))^2)+(2*((B6)/B21)))</f>
        <v>-0.42545321137282788</v>
      </c>
      <c r="C22" s="58">
        <f t="shared" ref="C22:H22" si="10">(C20/(2*C21))-SQRT(((C20/(2*C21))^2)+(2*((C6)/C21)))</f>
        <v>-0.42545321137282788</v>
      </c>
      <c r="D22" s="58">
        <f t="shared" si="10"/>
        <v>-0.42545321137282788</v>
      </c>
      <c r="E22" s="58">
        <f t="shared" si="10"/>
        <v>-0.42545321137282788</v>
      </c>
      <c r="F22" s="58">
        <f t="shared" si="10"/>
        <v>-0.42545321137282788</v>
      </c>
      <c r="G22" s="58">
        <f t="shared" si="10"/>
        <v>-0.42545321137282788</v>
      </c>
      <c r="H22" s="58">
        <f t="shared" si="10"/>
        <v>-0.42545321137282788</v>
      </c>
    </row>
    <row r="23" spans="1:8">
      <c r="A23" s="103" t="s">
        <v>364</v>
      </c>
      <c r="B23" s="58">
        <f>1-B19*B22</f>
        <v>1.4339622756002846</v>
      </c>
      <c r="C23" s="58">
        <f t="shared" ref="C23:H23" si="11">1-C19*C22</f>
        <v>1.4339622756002846</v>
      </c>
      <c r="D23" s="58">
        <f t="shared" si="11"/>
        <v>1.4339622756002846</v>
      </c>
      <c r="E23" s="58">
        <f t="shared" si="11"/>
        <v>1.4339622756002846</v>
      </c>
      <c r="F23" s="58">
        <f t="shared" si="11"/>
        <v>1.4339622756002846</v>
      </c>
      <c r="G23" s="58">
        <f t="shared" si="11"/>
        <v>1.4339622756002846</v>
      </c>
      <c r="H23" s="58">
        <f t="shared" si="11"/>
        <v>1.4339622756002846</v>
      </c>
    </row>
    <row r="24" spans="1:8">
      <c r="A24" t="s">
        <v>340</v>
      </c>
      <c r="B24" s="104">
        <f>(-(B23/B22)*((B6)/(B5)*B17))</f>
        <v>337.04347205965558</v>
      </c>
      <c r="C24" s="104">
        <f t="shared" ref="C24:H24" si="12">(-(C23/C22)*((C6)/(C5)*C17))</f>
        <v>337.04347205965558</v>
      </c>
      <c r="D24" s="104">
        <f t="shared" si="12"/>
        <v>337.04347205965558</v>
      </c>
      <c r="E24" s="104">
        <f t="shared" si="12"/>
        <v>337.04347205965558</v>
      </c>
      <c r="F24" s="104">
        <f t="shared" si="12"/>
        <v>337.04347205965558</v>
      </c>
      <c r="G24" s="104">
        <f t="shared" si="12"/>
        <v>337.04347205965558</v>
      </c>
      <c r="H24" s="104">
        <f t="shared" si="12"/>
        <v>337.04347205965558</v>
      </c>
    </row>
    <row r="25" spans="1:8">
      <c r="A25" t="s">
        <v>341</v>
      </c>
      <c r="B25" s="102">
        <f>(-(1/B22)*(1/B5)*(1/((B17^(B22-1))*(B24^B23))))</f>
        <v>9.8943751177460015</v>
      </c>
      <c r="C25" s="102">
        <f t="shared" ref="C25:H25" si="13">(-(1/C22)*(1/C5)*(1/((C17^(C22-1))*(C24^C23))))</f>
        <v>9.8943751177460015</v>
      </c>
      <c r="D25" s="102">
        <f t="shared" si="13"/>
        <v>9.8943751177460015</v>
      </c>
      <c r="E25" s="102">
        <f t="shared" si="13"/>
        <v>9.8943751177460015</v>
      </c>
      <c r="F25" s="102">
        <f t="shared" si="13"/>
        <v>9.8943751177460015</v>
      </c>
      <c r="G25" s="102">
        <f t="shared" si="13"/>
        <v>9.8943751177460015</v>
      </c>
      <c r="H25" s="102">
        <f t="shared" si="13"/>
        <v>9.8943751177460015</v>
      </c>
    </row>
    <row r="26" spans="1:8">
      <c r="A26" s="17" t="s">
        <v>393</v>
      </c>
      <c r="B26" s="121">
        <f>B4</f>
        <v>200</v>
      </c>
      <c r="C26" s="121">
        <f t="shared" ref="C26:H26" si="14">C4</f>
        <v>175</v>
      </c>
      <c r="D26" s="121">
        <f t="shared" si="14"/>
        <v>150</v>
      </c>
      <c r="E26" s="121">
        <f t="shared" si="14"/>
        <v>125</v>
      </c>
      <c r="F26" s="121">
        <f t="shared" si="14"/>
        <v>100</v>
      </c>
      <c r="G26" s="121">
        <f t="shared" si="14"/>
        <v>75</v>
      </c>
      <c r="H26" s="121">
        <f t="shared" si="14"/>
        <v>50</v>
      </c>
    </row>
    <row r="27" spans="1:8">
      <c r="A27" t="s">
        <v>70</v>
      </c>
      <c r="B27" s="122">
        <f>IF(B4&lt;B24,B25*(B3^B22)*(B4^B23),B28)</f>
        <v>2780.1751519175764</v>
      </c>
      <c r="C27" s="122">
        <f t="shared" ref="C27:H27" si="15">IF(C4&lt;C24,C25*(C3^C22)*(C4^C23),C28)</f>
        <v>2295.6934399856345</v>
      </c>
      <c r="D27" s="122">
        <f t="shared" si="15"/>
        <v>1840.4105849865398</v>
      </c>
      <c r="E27" s="122">
        <f t="shared" si="15"/>
        <v>1417.0063702265336</v>
      </c>
      <c r="F27" s="122">
        <f t="shared" si="15"/>
        <v>1028.9789723849824</v>
      </c>
      <c r="G27" s="122">
        <f t="shared" si="15"/>
        <v>681.15988706672476</v>
      </c>
      <c r="H27" s="122">
        <f t="shared" si="15"/>
        <v>380.83849676886894</v>
      </c>
    </row>
    <row r="28" spans="1:8">
      <c r="A28" s="30" t="s">
        <v>395</v>
      </c>
      <c r="B28" s="122">
        <f>MAX(-(B3/B5-B4/B6),0)</f>
        <v>2500</v>
      </c>
      <c r="C28" s="122">
        <f t="shared" ref="C28:H28" si="16">MAX(-(C3/C5-C4/C6),0)</f>
        <v>1875</v>
      </c>
      <c r="D28" s="122">
        <f t="shared" si="16"/>
        <v>1250</v>
      </c>
      <c r="E28" s="122">
        <f t="shared" si="16"/>
        <v>625</v>
      </c>
      <c r="F28" s="122">
        <f t="shared" si="16"/>
        <v>0</v>
      </c>
      <c r="G28" s="122">
        <f t="shared" si="16"/>
        <v>0</v>
      </c>
      <c r="H28" s="122">
        <f t="shared" si="16"/>
        <v>0</v>
      </c>
    </row>
    <row r="29" spans="1:8">
      <c r="A29" t="s">
        <v>343</v>
      </c>
      <c r="B29" s="109">
        <f>0.5*(B7^2)*(B3^2)*B32+0.5*(B8^2)*(B4^2)*B33+B9*B7*B8*B3*B4*B34+(B10-B5)*B3*B30+(B10-B6)*B4*B31-B10*B27</f>
        <v>0</v>
      </c>
      <c r="C29" s="109">
        <f t="shared" ref="C29:H29" si="17">0.5*(C7^2)*(C3^2)*C32+0.5*(C8^2)*(C4^2)*C33+C9*C7*C8*C3*C4*C34+(C10-C5)*C3*C30+(C10-C6)*C4*C31-C10*C27</f>
        <v>0</v>
      </c>
      <c r="D29" s="109">
        <f t="shared" si="17"/>
        <v>0</v>
      </c>
      <c r="E29" s="109">
        <f t="shared" si="17"/>
        <v>0</v>
      </c>
      <c r="F29" s="109">
        <f t="shared" si="17"/>
        <v>0</v>
      </c>
      <c r="G29" s="109">
        <f t="shared" si="17"/>
        <v>0</v>
      </c>
      <c r="H29" s="109">
        <f t="shared" si="17"/>
        <v>0</v>
      </c>
    </row>
    <row r="30" spans="1:8" ht="15">
      <c r="A30" t="s">
        <v>344</v>
      </c>
      <c r="B30" s="109">
        <f>B22*B25*(B3^(B22-1))*(B4^B23)</f>
        <v>-11.828344465622731</v>
      </c>
      <c r="C30" s="109">
        <f t="shared" ref="C30:H30" si="18">C22*C25*(C3^(C22-1))*(C4^C23)</f>
        <v>-9.7671014636942317</v>
      </c>
      <c r="D30" s="109">
        <f t="shared" si="18"/>
        <v>-7.8300859362706845</v>
      </c>
      <c r="E30" s="109">
        <f t="shared" si="18"/>
        <v>-6.0286991074863323</v>
      </c>
      <c r="F30" s="109">
        <f t="shared" si="18"/>
        <v>-4.3778240823630332</v>
      </c>
      <c r="G30" s="109">
        <f t="shared" si="18"/>
        <v>-2.8980166141089096</v>
      </c>
      <c r="H30" s="109">
        <f t="shared" si="18"/>
        <v>-1.6202896146471568</v>
      </c>
    </row>
    <row r="31" spans="1:8" ht="15">
      <c r="A31" t="s">
        <v>345</v>
      </c>
      <c r="B31" s="109">
        <f>B23*B25*(B3^B22)*(B4^(B23-1))</f>
        <v>19.933331437055482</v>
      </c>
      <c r="C31" s="109">
        <f t="shared" ref="C31:H31" si="19">C23*C25*(C3^C22)*(C4^(C23-1))</f>
        <v>18.811073081613976</v>
      </c>
      <c r="D31" s="109">
        <f t="shared" si="19"/>
        <v>17.593862336574333</v>
      </c>
      <c r="E31" s="109">
        <f t="shared" si="19"/>
        <v>16.255469433521107</v>
      </c>
      <c r="F31" s="109">
        <f t="shared" si="19"/>
        <v>14.755170287860109</v>
      </c>
      <c r="G31" s="109">
        <f t="shared" si="19"/>
        <v>13.023434422744453</v>
      </c>
      <c r="H31" s="109">
        <f t="shared" si="19"/>
        <v>10.922160749257582</v>
      </c>
    </row>
    <row r="32" spans="1:8" ht="15">
      <c r="A32" t="s">
        <v>346</v>
      </c>
      <c r="B32" s="109">
        <f>B22*(B22-1)*B25*(B3^(B22-2))*(B4^B23)</f>
        <v>0.16860751603745927</v>
      </c>
      <c r="C32" s="109">
        <f t="shared" ref="C32:H32" si="20">C22*(C22-1)*C25*(C3^(C22-2))*(C4^C23)</f>
        <v>0.1392254614722718</v>
      </c>
      <c r="D32" s="109">
        <f t="shared" si="20"/>
        <v>0.11161421143182257</v>
      </c>
      <c r="E32" s="109">
        <f t="shared" si="20"/>
        <v>8.5936285031668891E-2</v>
      </c>
      <c r="F32" s="109">
        <f t="shared" si="20"/>
        <v>6.2403833970296863E-2</v>
      </c>
      <c r="G32" s="109">
        <f t="shared" si="20"/>
        <v>4.1309870891933519E-2</v>
      </c>
      <c r="H32" s="109">
        <f t="shared" si="20"/>
        <v>2.3096470345528301E-2</v>
      </c>
    </row>
    <row r="33" spans="1:8" ht="15">
      <c r="A33" t="s">
        <v>347</v>
      </c>
      <c r="B33" s="109">
        <f>B23*(B23-1)*B25*(B3^B22)*(B4^(B23-2))</f>
        <v>4.3251569353596461E-2</v>
      </c>
      <c r="C33" s="109">
        <f t="shared" ref="C33:H33" si="21">C23*(C23-1)*C25*(C3^C22)*(C4^(C23-2))</f>
        <v>4.6647406177031177E-2</v>
      </c>
      <c r="D33" s="109">
        <f t="shared" si="21"/>
        <v>5.0900483574519595E-2</v>
      </c>
      <c r="E33" s="109">
        <f t="shared" si="21"/>
        <v>5.6434084050573485E-2</v>
      </c>
      <c r="F33" s="109">
        <f t="shared" si="21"/>
        <v>6.4031872749894747E-2</v>
      </c>
      <c r="G33" s="109">
        <f t="shared" si="21"/>
        <v>7.5355723176336847E-2</v>
      </c>
      <c r="H33" s="109">
        <f t="shared" si="21"/>
        <v>9.4796114664398579E-2</v>
      </c>
    </row>
    <row r="34" spans="1:8" ht="15">
      <c r="A34" t="s">
        <v>348</v>
      </c>
      <c r="B34" s="109">
        <f>B22*B23*B25*(B3^(B22-1))*(B4^(B23-1))</f>
        <v>-8.4806998732542049E-2</v>
      </c>
      <c r="C34" s="109">
        <f t="shared" ref="C34:H34" si="22">C22*C23*C25*(C3^(C22-1))*(C4^(C23-1))</f>
        <v>-8.0032314519416281E-2</v>
      </c>
      <c r="D34" s="109">
        <f t="shared" si="22"/>
        <v>-7.485365231546999E-2</v>
      </c>
      <c r="E34" s="109">
        <f t="shared" si="22"/>
        <v>-6.9159416728644008E-2</v>
      </c>
      <c r="F34" s="109">
        <f t="shared" si="22"/>
        <v>-6.277634583323019E-2</v>
      </c>
      <c r="G34" s="109">
        <f t="shared" si="22"/>
        <v>-5.5408619982600604E-2</v>
      </c>
      <c r="H34" s="109">
        <f t="shared" si="22"/>
        <v>-4.646868365901892E-2</v>
      </c>
    </row>
    <row r="49" spans="1:8">
      <c r="A49" t="s">
        <v>366</v>
      </c>
      <c r="B49" s="66">
        <v>100</v>
      </c>
    </row>
    <row r="50" spans="1:8">
      <c r="A50" t="s">
        <v>367</v>
      </c>
      <c r="B50" s="66">
        <v>200</v>
      </c>
    </row>
    <row r="51" spans="1:8">
      <c r="A51" s="52" t="s">
        <v>357</v>
      </c>
      <c r="B51" s="66">
        <v>0.04</v>
      </c>
    </row>
    <row r="52" spans="1:8">
      <c r="A52" s="52" t="s">
        <v>358</v>
      </c>
      <c r="B52" s="66">
        <v>0.04</v>
      </c>
    </row>
    <row r="53" spans="1:8" ht="15">
      <c r="A53" s="100" t="s">
        <v>359</v>
      </c>
      <c r="B53" s="66">
        <v>0.4</v>
      </c>
    </row>
    <row r="54" spans="1:8" ht="15">
      <c r="A54" s="100" t="s">
        <v>360</v>
      </c>
      <c r="B54" s="66">
        <v>0.3</v>
      </c>
    </row>
    <row r="55" spans="1:8">
      <c r="A55" s="52" t="s">
        <v>204</v>
      </c>
      <c r="B55" s="66">
        <v>0.5</v>
      </c>
    </row>
    <row r="56" spans="1:8">
      <c r="A56" t="s">
        <v>342</v>
      </c>
      <c r="B56" s="122">
        <f t="shared" ref="B56:H56" si="23">B27+B3/B5-B4/B6</f>
        <v>280.17515191757593</v>
      </c>
      <c r="C56" s="122">
        <f t="shared" si="23"/>
        <v>420.69343998563454</v>
      </c>
      <c r="D56" s="122">
        <f t="shared" si="23"/>
        <v>590.41058498654002</v>
      </c>
      <c r="E56" s="122">
        <f t="shared" si="23"/>
        <v>792.00637022653336</v>
      </c>
      <c r="F56" s="122">
        <f t="shared" si="23"/>
        <v>1028.9789723849826</v>
      </c>
      <c r="G56" s="122">
        <f t="shared" si="23"/>
        <v>1306.1598870667249</v>
      </c>
      <c r="H56" s="122">
        <f t="shared" si="23"/>
        <v>1630.8384967688689</v>
      </c>
    </row>
    <row r="57" spans="1:8">
      <c r="A57" t="s">
        <v>70</v>
      </c>
      <c r="B57" s="122" t="s">
        <v>404</v>
      </c>
    </row>
    <row r="58" spans="1:8">
      <c r="A58" s="30" t="s">
        <v>395</v>
      </c>
      <c r="B58" s="122" t="s">
        <v>401</v>
      </c>
    </row>
    <row r="59" spans="1:8">
      <c r="A59" t="s">
        <v>343</v>
      </c>
      <c r="B59" s="126" t="s">
        <v>402</v>
      </c>
    </row>
    <row r="60" spans="1:8" ht="15">
      <c r="A60" t="s">
        <v>344</v>
      </c>
      <c r="B60" s="109" t="s">
        <v>398</v>
      </c>
    </row>
    <row r="61" spans="1:8" ht="15">
      <c r="A61" t="s">
        <v>345</v>
      </c>
      <c r="B61" s="109" t="s">
        <v>399</v>
      </c>
    </row>
    <row r="62" spans="1:8" ht="15">
      <c r="A62" t="s">
        <v>346</v>
      </c>
      <c r="B62" s="109" t="s">
        <v>374</v>
      </c>
    </row>
    <row r="63" spans="1:8" ht="15">
      <c r="A63" t="s">
        <v>347</v>
      </c>
      <c r="B63" s="109" t="s">
        <v>384</v>
      </c>
    </row>
    <row r="64" spans="1:8" ht="15">
      <c r="A64" t="s">
        <v>348</v>
      </c>
      <c r="B64" s="109" t="s">
        <v>385</v>
      </c>
    </row>
  </sheetData>
  <printOptions horizontalCentered="1" headings="1"/>
  <pageMargins left="0.7" right="0.7" top="0.75" bottom="0.75" header="0.3" footer="0.3"/>
  <pageSetup scale="8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GUIDE</vt:lpstr>
      <vt:lpstr>INTRINSIC CALL</vt:lpstr>
      <vt:lpstr>CALL OPTION</vt:lpstr>
      <vt:lpstr>PUT OPTION</vt:lpstr>
      <vt:lpstr>EXCHANGE</vt:lpstr>
      <vt:lpstr>ValueMatch</vt:lpstr>
      <vt:lpstr>INVEST OPTION</vt:lpstr>
      <vt:lpstr>STARTUP</vt:lpstr>
      <vt:lpstr>SHUT DOWN</vt:lpstr>
      <vt:lpstr>OUTPUT SWITCH</vt:lpstr>
      <vt:lpstr>LEVERAGED EQUITY</vt:lpstr>
      <vt:lpstr>HEDGING1</vt:lpstr>
      <vt:lpstr>STRATEGY1</vt:lpstr>
      <vt:lpstr>STRATEGY2</vt:lpstr>
      <vt:lpstr>STRATEGY3</vt:lpstr>
      <vt:lpstr>STRATEGY4</vt:lpstr>
      <vt:lpstr>STRATEGY5</vt:lpstr>
      <vt:lpstr>RENOVATION</vt:lpstr>
      <vt:lpstr>RENOVATION_REQD</vt:lpstr>
      <vt:lpstr>SHARING</vt:lpstr>
      <vt:lpstr>SAMUELSON1</vt:lpstr>
      <vt:lpstr>SAMUELSON2</vt:lpstr>
      <vt:lpstr>VOLATILITY</vt:lpstr>
      <vt:lpstr>DELTA,GAMMA</vt:lpstr>
      <vt:lpstr>AMER_PERP</vt:lpstr>
      <vt:lpstr>TOURINHO I</vt:lpstr>
      <vt:lpstr>DEBT BASE CASE</vt:lpstr>
      <vt:lpstr>ODE PROOF</vt:lpstr>
      <vt:lpstr>DEFAULT OPTION</vt:lpstr>
      <vt:lpstr>STRATEGY a</vt:lpstr>
      <vt:lpstr>FairStrategy</vt:lpstr>
      <vt:lpstr>SIMPLE STRATEGY</vt:lpstr>
      <vt:lpstr>EQUITY</vt:lpstr>
    </vt:vector>
  </TitlesOfParts>
  <Company>Manchester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Paxson</dc:creator>
  <cp:lastModifiedBy>Dean</cp:lastModifiedBy>
  <cp:lastPrinted>2019-12-31T22:35:43Z</cp:lastPrinted>
  <dcterms:created xsi:type="dcterms:W3CDTF">1998-12-09T15:08:54Z</dcterms:created>
  <dcterms:modified xsi:type="dcterms:W3CDTF">2020-02-07T10:07:25Z</dcterms:modified>
</cp:coreProperties>
</file>